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11400" windowHeight="5895" tabRatio="77"/>
  </bookViews>
  <sheets>
    <sheet name="TDSheet" sheetId="1" r:id="rId1"/>
  </sheets>
  <definedNames>
    <definedName name="_xlnm._FilterDatabase" localSheetId="0" hidden="1">TDSheet!$A$3:$BT$163</definedName>
  </definedNames>
  <calcPr calcId="145621" refMode="R1C1"/>
</workbook>
</file>

<file path=xl/calcChain.xml><?xml version="1.0" encoding="utf-8"?>
<calcChain xmlns="http://schemas.openxmlformats.org/spreadsheetml/2006/main">
  <c r="P68" i="1" l="1"/>
  <c r="P160" i="1" l="1"/>
  <c r="O156" i="1"/>
  <c r="P135" i="1"/>
  <c r="N161" i="1"/>
  <c r="P136" i="1"/>
  <c r="N136" i="1"/>
  <c r="N139" i="1"/>
  <c r="R141" i="1"/>
  <c r="N150" i="1"/>
  <c r="N157" i="1"/>
  <c r="O157" i="1"/>
  <c r="N143" i="1"/>
  <c r="P143" i="1"/>
  <c r="R130" i="1"/>
  <c r="O126" i="1"/>
  <c r="N126" i="1"/>
  <c r="O108" i="1"/>
  <c r="N108" i="1"/>
  <c r="N120" i="1"/>
  <c r="P120" i="1"/>
  <c r="P107" i="1"/>
  <c r="P74" i="1"/>
  <c r="N99" i="1"/>
  <c r="P118" i="1"/>
  <c r="N83" i="1"/>
  <c r="O117" i="1" l="1"/>
  <c r="S117" i="1"/>
  <c r="N117" i="1"/>
  <c r="N110" i="1"/>
  <c r="O119" i="1"/>
  <c r="P119" i="1"/>
  <c r="P114" i="1"/>
  <c r="P82" i="1"/>
  <c r="O82" i="1"/>
  <c r="N82" i="1"/>
  <c r="P91" i="1"/>
  <c r="P79" i="1"/>
  <c r="N79" i="1"/>
  <c r="N77" i="1"/>
  <c r="N113" i="1"/>
  <c r="P113" i="1"/>
  <c r="Q113" i="1"/>
  <c r="N146" i="1"/>
  <c r="P44" i="1"/>
  <c r="N44" i="1"/>
  <c r="N124" i="1"/>
  <c r="P106" i="1"/>
  <c r="P115" i="1"/>
  <c r="N81" i="1"/>
  <c r="P116" i="1"/>
  <c r="N92" i="1"/>
  <c r="N98" i="1"/>
  <c r="N73" i="1"/>
  <c r="O73" i="1"/>
  <c r="S96" i="1"/>
  <c r="P96" i="1"/>
  <c r="N94" i="1"/>
  <c r="P94" i="1"/>
  <c r="P84" i="1"/>
  <c r="N86" i="1"/>
  <c r="O86" i="1"/>
  <c r="R80" i="1"/>
  <c r="P111" i="1"/>
  <c r="P59" i="1"/>
  <c r="N66" i="1"/>
  <c r="P66" i="1"/>
  <c r="P60" i="1"/>
  <c r="N60" i="1"/>
  <c r="P55" i="1"/>
  <c r="P54" i="1"/>
  <c r="P62" i="1"/>
  <c r="N51" i="1" l="1"/>
  <c r="O35" i="1"/>
  <c r="N35" i="1"/>
  <c r="N31" i="1"/>
  <c r="N41" i="1"/>
  <c r="N19" i="1"/>
  <c r="N137" i="1"/>
  <c r="N71" i="1"/>
  <c r="N72" i="1"/>
  <c r="N5" i="1"/>
  <c r="W4" i="1" l="1"/>
  <c r="X4" i="1"/>
  <c r="Y4" i="1"/>
  <c r="Z4" i="1"/>
  <c r="AA4" i="1"/>
  <c r="AB4" i="1"/>
  <c r="AC4" i="1"/>
  <c r="AD4" i="1"/>
  <c r="AE4" i="1"/>
  <c r="AF4" i="1"/>
  <c r="AG4" i="1"/>
  <c r="AH4" i="1"/>
  <c r="AI4" i="1"/>
  <c r="AJ4" i="1"/>
  <c r="AK4" i="1"/>
  <c r="AL4" i="1"/>
  <c r="AM4" i="1"/>
  <c r="AN4" i="1"/>
  <c r="AO4" i="1"/>
  <c r="AP4" i="1"/>
  <c r="AQ4" i="1"/>
  <c r="AR4" i="1"/>
  <c r="AS4" i="1"/>
  <c r="AT4" i="1"/>
  <c r="AU4" i="1"/>
  <c r="AV4" i="1"/>
  <c r="AW4" i="1"/>
  <c r="AX4" i="1"/>
  <c r="AY4" i="1"/>
  <c r="AZ4" i="1"/>
  <c r="BA4" i="1"/>
  <c r="BB4" i="1"/>
  <c r="BC4" i="1"/>
  <c r="BD4" i="1"/>
  <c r="BE4" i="1"/>
  <c r="BF4" i="1"/>
  <c r="BG4" i="1"/>
  <c r="BH4" i="1"/>
  <c r="BI4" i="1"/>
  <c r="BJ4" i="1"/>
  <c r="BK4" i="1"/>
  <c r="BL4" i="1"/>
  <c r="BM4" i="1"/>
  <c r="BN4" i="1"/>
  <c r="BO4" i="1"/>
  <c r="BP4" i="1"/>
  <c r="BQ4" i="1"/>
  <c r="BR4" i="1"/>
  <c r="BS4" i="1"/>
  <c r="BT4" i="1"/>
  <c r="P4" i="1"/>
  <c r="Q4" i="1"/>
  <c r="R4" i="1"/>
  <c r="S4" i="1"/>
  <c r="T4" i="1"/>
  <c r="U4" i="1"/>
  <c r="V4" i="1"/>
  <c r="O4" i="1"/>
  <c r="N4" i="1" l="1"/>
  <c r="M4" i="1"/>
</calcChain>
</file>

<file path=xl/sharedStrings.xml><?xml version="1.0" encoding="utf-8"?>
<sst xmlns="http://schemas.openxmlformats.org/spreadsheetml/2006/main" count="1465" uniqueCount="255">
  <si>
    <t>ОПФ</t>
  </si>
  <si>
    <t>Состояние права</t>
  </si>
  <si>
    <t>ООО</t>
  </si>
  <si>
    <t>«ВЕГА»</t>
  </si>
  <si>
    <t>до 500 млн руб. (2 уровень ответственности члена СРО)</t>
  </si>
  <si>
    <t>до 3 млрд руб. (3 уровень ответственности члена СРО)</t>
  </si>
  <si>
    <t>Действует</t>
  </si>
  <si>
    <t>Да</t>
  </si>
  <si>
    <t>Нет</t>
  </si>
  <si>
    <t>фирма «БЛИК»</t>
  </si>
  <si>
    <t>«Промстрой»</t>
  </si>
  <si>
    <t>до 90 млн руб. (1 уровень ответственности члена СРО)</t>
  </si>
  <si>
    <t>«Абрис»</t>
  </si>
  <si>
    <t>«Электросила»</t>
  </si>
  <si>
    <t>Приостановлено</t>
  </si>
  <si>
    <t>«Стройтэк»</t>
  </si>
  <si>
    <t>«Краспромавтоматика»</t>
  </si>
  <si>
    <t>«МЕНТАЛ-ПЛЮС»</t>
  </si>
  <si>
    <t>«РеНал»</t>
  </si>
  <si>
    <t>СЗ «Альфа»</t>
  </si>
  <si>
    <t>«ССМР»</t>
  </si>
  <si>
    <t>«КСТС»</t>
  </si>
  <si>
    <t>«Сервис-Центр»</t>
  </si>
  <si>
    <t>СК «СовТехноСтрой»</t>
  </si>
  <si>
    <t>«СТМ»</t>
  </si>
  <si>
    <t>МУП</t>
  </si>
  <si>
    <t>ТС</t>
  </si>
  <si>
    <t>СК «Галикон»</t>
  </si>
  <si>
    <t>ИСК «Омега»</t>
  </si>
  <si>
    <t>«ПКП «Алекс»</t>
  </si>
  <si>
    <t>«Руслан-Строй»</t>
  </si>
  <si>
    <t>«Строитель-6»</t>
  </si>
  <si>
    <t>ПКФ «Комплекс»</t>
  </si>
  <si>
    <t>ПФ «Орион»</t>
  </si>
  <si>
    <t>СК «Аркада 21»</t>
  </si>
  <si>
    <t>ПСК "Сибирь"</t>
  </si>
  <si>
    <t>ПКФ «Теплоучет»</t>
  </si>
  <si>
    <t>«ЭкоСтрой»</t>
  </si>
  <si>
    <t>фирма "Уровень"</t>
  </si>
  <si>
    <t>«АРКАДА»</t>
  </si>
  <si>
    <t>"ИК "РОСА"</t>
  </si>
  <si>
    <t>«ТехПолимерСтрой»</t>
  </si>
  <si>
    <t>«СибМонтажКомплект»</t>
  </si>
  <si>
    <t>«Димона Связь»</t>
  </si>
  <si>
    <t>«Центр-строй»</t>
  </si>
  <si>
    <t>НПО "Пульсар"</t>
  </si>
  <si>
    <t>«ФОН»</t>
  </si>
  <si>
    <t>«Соврудник»</t>
  </si>
  <si>
    <t>«Крипта К»</t>
  </si>
  <si>
    <t>ПКФ "Флик"</t>
  </si>
  <si>
    <t>«Универсал»</t>
  </si>
  <si>
    <t>"СПГ "Ермак"</t>
  </si>
  <si>
    <t>«ХРСУ»</t>
  </si>
  <si>
    <t>«СДС Электро Сервис»</t>
  </si>
  <si>
    <t>«Альпсервис»</t>
  </si>
  <si>
    <t>«СКБ»</t>
  </si>
  <si>
    <t>«ЭКРА-Сибирь»</t>
  </si>
  <si>
    <t>«ССК»</t>
  </si>
  <si>
    <t>«СТРОЙСЕРВИС-2000»</t>
  </si>
  <si>
    <t>«Эско Восток КрК»</t>
  </si>
  <si>
    <t>СК «ТСТ»</t>
  </si>
  <si>
    <t>«Гранит»</t>
  </si>
  <si>
    <t>«Востокстройизыскания»</t>
  </si>
  <si>
    <t>«Теплострой»</t>
  </si>
  <si>
    <t>МКУ</t>
  </si>
  <si>
    <t>«АПГ»</t>
  </si>
  <si>
    <t>Министерст</t>
  </si>
  <si>
    <t>социальной политики Красноярского края</t>
  </si>
  <si>
    <t>«Автоспецтехника»</t>
  </si>
  <si>
    <t>«СОЮЗ»</t>
  </si>
  <si>
    <t>АО</t>
  </si>
  <si>
    <t>«Кызылская ТЭЦ»</t>
  </si>
  <si>
    <t>«СибСтрой»</t>
  </si>
  <si>
    <t>«РЕШЕТНЁВ»</t>
  </si>
  <si>
    <t>Отдел</t>
  </si>
  <si>
    <t>Отдел ЖКХ и АСТ</t>
  </si>
  <si>
    <t>«Кратэр»</t>
  </si>
  <si>
    <t>«Газпром морские проекты»</t>
  </si>
  <si>
    <t>свыше 10 млрд руб. (5 уровень ответственности члена СРО)</t>
  </si>
  <si>
    <t>«СДК»</t>
  </si>
  <si>
    <t>«КрайДЭО»</t>
  </si>
  <si>
    <t>до 10 млрд руб. (4 уровень ответственности члена СРО)</t>
  </si>
  <si>
    <t>«СТЭМ»</t>
  </si>
  <si>
    <t>«БЕТА»</t>
  </si>
  <si>
    <t>«ОМИКРОН»</t>
  </si>
  <si>
    <t>«ГК «Сибирьэнергоинжиниринг»</t>
  </si>
  <si>
    <t>«МЭС»</t>
  </si>
  <si>
    <t>«ЦИА»</t>
  </si>
  <si>
    <t>«ПРОММОНТАЖ»</t>
  </si>
  <si>
    <t>«Кратэк»</t>
  </si>
  <si>
    <t>«Промышленная Автоматизация»</t>
  </si>
  <si>
    <t>«ЗСК»</t>
  </si>
  <si>
    <t>«АРКО»</t>
  </si>
  <si>
    <t>"СоюзЛифтМонтаж"</t>
  </si>
  <si>
    <t>ПАО</t>
  </si>
  <si>
    <t>«ГМК «Норильский никель»</t>
  </si>
  <si>
    <t>«НЭТО»</t>
  </si>
  <si>
    <t>«Восточная Сибирь»</t>
  </si>
  <si>
    <t>«Лифтмонтаж»</t>
  </si>
  <si>
    <t>«Норильскникельремонт»</t>
  </si>
  <si>
    <t>«СВК»</t>
  </si>
  <si>
    <t>СМП "СОЮЗ"</t>
  </si>
  <si>
    <t>НПП ПА-Красноярск</t>
  </si>
  <si>
    <t>«СтройГарант»</t>
  </si>
  <si>
    <t>«ТП «ГЭМ»</t>
  </si>
  <si>
    <t>«БоАЗ»</t>
  </si>
  <si>
    <t>«СВР»</t>
  </si>
  <si>
    <t>«Спринг»</t>
  </si>
  <si>
    <t>«Монтехком»</t>
  </si>
  <si>
    <t>«КраМЗ»</t>
  </si>
  <si>
    <t>«Сибирский строитель»</t>
  </si>
  <si>
    <t>УСК «Опора»</t>
  </si>
  <si>
    <t>«Лифтремонт»</t>
  </si>
  <si>
    <t>«Норильсктрансгаз»</t>
  </si>
  <si>
    <t>«Телеком ГХК»</t>
  </si>
  <si>
    <t>«Богучанская ГЭС»</t>
  </si>
  <si>
    <t>«Новоангарский обогатительный комбинат»</t>
  </si>
  <si>
    <t>«АСК»</t>
  </si>
  <si>
    <t>ФГБНУ</t>
  </si>
  <si>
    <t>"ФИЦ КНЦ СО РАН, КНЦ СО РАН"</t>
  </si>
  <si>
    <t>СК «Опора»</t>
  </si>
  <si>
    <t>«СПС»</t>
  </si>
  <si>
    <t>ИП</t>
  </si>
  <si>
    <t>Жмулевский Д.А.</t>
  </si>
  <si>
    <t>«СК Витраж»</t>
  </si>
  <si>
    <t>"ССК "СибМост"</t>
  </si>
  <si>
    <t>«СтройСервис»</t>
  </si>
  <si>
    <t>«ПСМК»</t>
  </si>
  <si>
    <t>«ПСК»</t>
  </si>
  <si>
    <t>«СибЖДРемСтрой»</t>
  </si>
  <si>
    <t>Петухов Вадим Егорович</t>
  </si>
  <si>
    <t>"АльянсСтройПроект"</t>
  </si>
  <si>
    <t>«Капитальный ремонт»</t>
  </si>
  <si>
    <t>«Горельеф»</t>
  </si>
  <si>
    <t>«ПСК «ВЕКТОР»</t>
  </si>
  <si>
    <t>«Стройуслуги»</t>
  </si>
  <si>
    <t>«СУЭК-Красноярск»</t>
  </si>
  <si>
    <t>«Спектр»</t>
  </si>
  <si>
    <t>«ТЕРМИТ»</t>
  </si>
  <si>
    <t>«КЦС»</t>
  </si>
  <si>
    <t>«ИнноТех Инжиниринг»</t>
  </si>
  <si>
    <t>Петров Константин Владимирович</t>
  </si>
  <si>
    <t>«Собитек»</t>
  </si>
  <si>
    <t>«ВКС»</t>
  </si>
  <si>
    <t>КГКУ</t>
  </si>
  <si>
    <t>«Техноцентр министерства культуры края»</t>
  </si>
  <si>
    <t>"Строительные системы"</t>
  </si>
  <si>
    <t>«ТАЙМЫРПРОМСТРОЙ»</t>
  </si>
  <si>
    <t>«Строй-Енисей»</t>
  </si>
  <si>
    <t>«ГЕРМАНИЙ»</t>
  </si>
  <si>
    <t>«СК Оникс»</t>
  </si>
  <si>
    <t>«РУБИН»</t>
  </si>
  <si>
    <t>«ЗЕВС»</t>
  </si>
  <si>
    <t>МКУ г. Красноярска</t>
  </si>
  <si>
    <t>«УРТСЖиМС»</t>
  </si>
  <si>
    <t>«Готика-Строй»</t>
  </si>
  <si>
    <t>«СК «СибМостПроект»</t>
  </si>
  <si>
    <t>ЗАО</t>
  </si>
  <si>
    <t>«Назаровское»</t>
  </si>
  <si>
    <t>«СЗ «ОАЗИС»</t>
  </si>
  <si>
    <t>«Строймеханизация»</t>
  </si>
  <si>
    <t>«ПРОМИНЖИНИРИНГ»</t>
  </si>
  <si>
    <t>«ИнТЕГ»</t>
  </si>
  <si>
    <t>«Кровельный мир»</t>
  </si>
  <si>
    <t>«ИНТЕГРА»</t>
  </si>
  <si>
    <t>«ЭквитиПлюс»</t>
  </si>
  <si>
    <t>«Альянс-Строй»</t>
  </si>
  <si>
    <t>СК «Перспектива»</t>
  </si>
  <si>
    <t>«АлгоритмКонсалт»</t>
  </si>
  <si>
    <t>«ЕСК СУЭК»</t>
  </si>
  <si>
    <t>«ЭнергоСпецСтрой»</t>
  </si>
  <si>
    <t>УСК «Альфа»</t>
  </si>
  <si>
    <t>«АЛЬПСТРОЙ»</t>
  </si>
  <si>
    <t>«СКС»</t>
  </si>
  <si>
    <t>«Союз-Инжиниринг»</t>
  </si>
  <si>
    <t>"СК СТМ"</t>
  </si>
  <si>
    <t>«ДАРТ-СТРОЙ»</t>
  </si>
  <si>
    <t>«БТС-Красноярск»</t>
  </si>
  <si>
    <t>Глава КФХ Сапрыкина Т.Г.</t>
  </si>
  <si>
    <t>«СМУ-24»</t>
  </si>
  <si>
    <t>Вид работ (см. вкладку "Справка")</t>
  </si>
  <si>
    <t>Функционал при СРКрС (см. вкладку"Справка")</t>
  </si>
  <si>
    <t>Тип объекта СРКрС (см. вкладку "Справка")</t>
  </si>
  <si>
    <t>Номер в реестре членов СА "КС"</t>
  </si>
  <si>
    <t>Наименвание члена СРО</t>
  </si>
  <si>
    <t>Уровень по КФВВ</t>
  </si>
  <si>
    <t>Взнос в КФВВ</t>
  </si>
  <si>
    <t>Уровень
по КФОДО</t>
  </si>
  <si>
    <t>Взнос в КФОДО</t>
  </si>
  <si>
    <t>Право на ОКС</t>
  </si>
  <si>
    <t>Право на ООТСиУ</t>
  </si>
  <si>
    <t>Право на ОИАЭ</t>
  </si>
  <si>
    <t>Наличие права на закупки</t>
  </si>
  <si>
    <t>Итого по ф.2.1.8 (и.руб)</t>
  </si>
  <si>
    <t>Строительство</t>
  </si>
  <si>
    <t>Реконструкция</t>
  </si>
  <si>
    <t>Капремонт</t>
  </si>
  <si>
    <t>Снос</t>
  </si>
  <si>
    <t>ТЗ</t>
  </si>
  <si>
    <t>текущий ремонт</t>
  </si>
  <si>
    <t>Регион деятельности (см. вкладку "Справка")</t>
  </si>
  <si>
    <t>1- подготовительные</t>
  </si>
  <si>
    <t>2- земляные</t>
  </si>
  <si>
    <t>3- инж.подготовка тер-и</t>
  </si>
  <si>
    <t>4- инж.защита тер-и</t>
  </si>
  <si>
    <t>5- свайные</t>
  </si>
  <si>
    <t>6- фундаменты и основания</t>
  </si>
  <si>
    <t>7- возведение несущих конструкций</t>
  </si>
  <si>
    <t>8- возв-е наружных ограждающих констр-й</t>
  </si>
  <si>
    <t>9- устройство кровли</t>
  </si>
  <si>
    <t>10- фасадные р-ты</t>
  </si>
  <si>
    <t>11- внутренние отделочные р-ты</t>
  </si>
  <si>
    <t>12- устр-во внутр. сан-тех систем</t>
  </si>
  <si>
    <t>13- уст-во внутр.электротех.систем</t>
  </si>
  <si>
    <t>14- устр-во внут.трубопровод.сис-м</t>
  </si>
  <si>
    <t>15- устр-во внутр.слаботоч.сис-м</t>
  </si>
  <si>
    <t>16- установка подъёма-трансп.обор-я</t>
  </si>
  <si>
    <t>17- монтаж технолог.оборуд-я</t>
  </si>
  <si>
    <t>18- пусконаладочные р-ты</t>
  </si>
  <si>
    <t>19- устр-во наруж.эл.сетей и линий связи</t>
  </si>
  <si>
    <t>20- устр-во наруж.сетей канал-ции</t>
  </si>
  <si>
    <t>21- устр-во наруж.сетей водоснаб-я</t>
  </si>
  <si>
    <t>22- устр-во наруж.сетей теплоснаб-я</t>
  </si>
  <si>
    <t>23- устр-во наруж.сетей гзоснаб-я</t>
  </si>
  <si>
    <t>24- устр-во дорожной одежды автодорог</t>
  </si>
  <si>
    <t>25- обустройчство автодорог</t>
  </si>
  <si>
    <t>26- устр-во верхнего строения ж/д пути</t>
  </si>
  <si>
    <t>27- устр-во трубопроводов</t>
  </si>
  <si>
    <t>28- устр-во переходов сетей и трубопроводов ч/з препят-я</t>
  </si>
  <si>
    <t>29- устр-во туннелей</t>
  </si>
  <si>
    <t>30- устр-во штолен</t>
  </si>
  <si>
    <t>31- устр-во искусст.сооружений</t>
  </si>
  <si>
    <t>32- дноуглубительные и водолазные работы</t>
  </si>
  <si>
    <t>33- гидротехнические р-ты</t>
  </si>
  <si>
    <t>34- благоустройство</t>
  </si>
  <si>
    <t>35- снос</t>
  </si>
  <si>
    <t>техзаказчик</t>
  </si>
  <si>
    <t>1 - застройщик</t>
  </si>
  <si>
    <t>2 - тех.заказчик</t>
  </si>
  <si>
    <t>3 - генподрядчик</t>
  </si>
  <si>
    <t>4 - субподрядчик</t>
  </si>
  <si>
    <t>5 - снос/ демонтаж</t>
  </si>
  <si>
    <t>6 - текущий ремонт</t>
  </si>
  <si>
    <t>7 - иное</t>
  </si>
  <si>
    <t>1 - жильё</t>
  </si>
  <si>
    <t>2 - социальные</t>
  </si>
  <si>
    <t>3 - коммунальные</t>
  </si>
  <si>
    <t>4 - эл.энергетика</t>
  </si>
  <si>
    <t>5 - автодороги, мосты, аэродромы</t>
  </si>
  <si>
    <t>6 - прочие линейные</t>
  </si>
  <si>
    <t>7 - прочие промышленные</t>
  </si>
  <si>
    <t>8 - коммерческие</t>
  </si>
  <si>
    <t>9 - иное</t>
  </si>
  <si>
    <t>Итоговая строка</t>
  </si>
  <si>
    <t>Сведения о членах СА "КС" по отчётам формы 2.1.12, 2.1.8 за 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</si>
</sst>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\ _₽"/>
  </numFmts>
  <fonts count="7" x14ac:knownFonts="1">
    <font>
      <sz val="8"/>
      <name val="Arial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FF"/>
        <bgColor auto="1"/>
      </patternFill>
    </fill>
    <fill>
      <patternFill patternType="solid">
        <fgColor rgb="FF90EE90"/>
        <bgColor auto="1"/>
      </patternFill>
    </fill>
    <fill>
      <patternFill patternType="solid">
        <fgColor rgb="FFFFFF00"/>
        <bgColor auto="1"/>
      </patternFill>
    </fill>
    <fill>
      <patternFill patternType="solid">
        <fgColor rgb="FF92D050"/>
        <bgColor indexed="64"/>
      </patternFill>
    </fill>
  </fills>
  <borders count="14">
    <border>
      <left/>
      <right/>
      <top/>
      <bottom/>
      <diagonal/>
    </border>
    <border>
      <left style="thin">
        <color rgb="FFB3AC86"/>
      </left>
      <right style="thin">
        <color rgb="FFB3AC86"/>
      </right>
      <top style="thin">
        <color rgb="FFB3AC86"/>
      </top>
      <bottom style="thin">
        <color rgb="FFB3AC86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0" fillId="0" borderId="0" xfId="0" applyAlignment="1">
      <alignment horizontal="left"/>
    </xf>
    <xf numFmtId="0" fontId="1" fillId="0" borderId="0" xfId="0" applyNumberFormat="1" applyFont="1" applyFill="1" applyAlignment="1">
      <alignment vertical="top" wrapText="1"/>
    </xf>
    <xf numFmtId="0" fontId="2" fillId="0" borderId="0" xfId="0" applyNumberFormat="1" applyFont="1" applyFill="1" applyAlignment="1">
      <alignment vertical="top"/>
    </xf>
    <xf numFmtId="164" fontId="1" fillId="0" borderId="0" xfId="0" applyNumberFormat="1" applyFont="1" applyFill="1" applyAlignment="1">
      <alignment vertical="top" wrapText="1"/>
    </xf>
    <xf numFmtId="164" fontId="1" fillId="0" borderId="0" xfId="0" applyNumberFormat="1" applyFont="1" applyFill="1" applyAlignment="1">
      <alignment vertical="top"/>
    </xf>
    <xf numFmtId="0" fontId="1" fillId="0" borderId="0" xfId="0" applyFont="1" applyFill="1" applyAlignment="1">
      <alignment vertical="top"/>
    </xf>
    <xf numFmtId="0" fontId="1" fillId="0" borderId="3" xfId="0" applyFont="1" applyFill="1" applyBorder="1" applyAlignment="1">
      <alignment vertical="top"/>
    </xf>
    <xf numFmtId="0" fontId="1" fillId="0" borderId="4" xfId="0" applyFont="1" applyFill="1" applyBorder="1" applyAlignment="1">
      <alignment vertical="top"/>
    </xf>
    <xf numFmtId="0" fontId="1" fillId="0" borderId="5" xfId="0" applyFont="1" applyFill="1" applyBorder="1" applyAlignment="1">
      <alignment vertical="top"/>
    </xf>
    <xf numFmtId="0" fontId="1" fillId="0" borderId="6" xfId="0" applyNumberFormat="1" applyFont="1" applyFill="1" applyBorder="1" applyAlignment="1">
      <alignment horizontal="center" vertical="center" textRotation="90" wrapText="1"/>
    </xf>
    <xf numFmtId="0" fontId="1" fillId="0" borderId="7" xfId="0" applyNumberFormat="1" applyFont="1" applyFill="1" applyBorder="1" applyAlignment="1">
      <alignment horizontal="center" vertical="center" textRotation="90" wrapText="1"/>
    </xf>
    <xf numFmtId="164" fontId="1" fillId="0" borderId="7" xfId="0" applyNumberFormat="1" applyFont="1" applyFill="1" applyBorder="1" applyAlignment="1">
      <alignment horizontal="center" vertical="center" textRotation="90" wrapText="1"/>
    </xf>
    <xf numFmtId="0" fontId="1" fillId="0" borderId="8" xfId="0" applyNumberFormat="1" applyFont="1" applyFill="1" applyBorder="1" applyAlignment="1">
      <alignment horizontal="center" vertical="center" textRotation="90" wrapText="1"/>
    </xf>
    <xf numFmtId="0" fontId="1" fillId="0" borderId="9" xfId="0" applyNumberFormat="1" applyFont="1" applyFill="1" applyBorder="1" applyAlignment="1">
      <alignment horizontal="center" vertical="center" textRotation="90" wrapText="1"/>
    </xf>
    <xf numFmtId="0" fontId="1" fillId="0" borderId="10" xfId="0" applyNumberFormat="1" applyFont="1" applyFill="1" applyBorder="1" applyAlignment="1">
      <alignment horizontal="center" vertical="center" textRotation="90" wrapText="1"/>
    </xf>
    <xf numFmtId="0" fontId="1" fillId="0" borderId="11" xfId="0" applyNumberFormat="1" applyFont="1" applyFill="1" applyBorder="1" applyAlignment="1">
      <alignment horizontal="center" vertical="center" textRotation="90" wrapText="1"/>
    </xf>
    <xf numFmtId="0" fontId="1" fillId="0" borderId="6" xfId="0" applyNumberFormat="1" applyFont="1" applyFill="1" applyBorder="1" applyAlignment="1">
      <alignment horizontal="center" vertical="top" wrapText="1"/>
    </xf>
    <xf numFmtId="0" fontId="1" fillId="0" borderId="7" xfId="0" applyNumberFormat="1" applyFont="1" applyFill="1" applyBorder="1" applyAlignment="1">
      <alignment horizontal="center" vertical="top" wrapText="1"/>
    </xf>
    <xf numFmtId="164" fontId="1" fillId="0" borderId="7" xfId="0" applyNumberFormat="1" applyFont="1" applyFill="1" applyBorder="1" applyAlignment="1">
      <alignment horizontal="center" vertical="top" wrapText="1"/>
    </xf>
    <xf numFmtId="0" fontId="1" fillId="0" borderId="12" xfId="0" applyNumberFormat="1" applyFont="1" applyFill="1" applyBorder="1" applyAlignment="1">
      <alignment horizontal="center" vertical="top" wrapText="1"/>
    </xf>
    <xf numFmtId="0" fontId="1" fillId="0" borderId="8" xfId="0" applyNumberFormat="1" applyFont="1" applyFill="1" applyBorder="1" applyAlignment="1">
      <alignment horizontal="center" vertical="top" wrapText="1"/>
    </xf>
    <xf numFmtId="164" fontId="2" fillId="0" borderId="13" xfId="0" applyNumberFormat="1" applyFont="1" applyFill="1" applyBorder="1" applyAlignment="1">
      <alignment horizontal="center" vertical="top" wrapText="1"/>
    </xf>
    <xf numFmtId="0" fontId="4" fillId="0" borderId="13" xfId="0" applyNumberFormat="1" applyFont="1" applyFill="1" applyBorder="1" applyAlignment="1">
      <alignment horizontal="center" vertical="top" wrapText="1"/>
    </xf>
    <xf numFmtId="164" fontId="4" fillId="0" borderId="13" xfId="0" applyNumberFormat="1" applyFont="1" applyFill="1" applyBorder="1" applyAlignment="1">
      <alignment horizontal="center" vertical="top" wrapText="1"/>
    </xf>
    <xf numFmtId="164" fontId="5" fillId="0" borderId="13" xfId="0" applyNumberFormat="1" applyFont="1" applyFill="1" applyBorder="1" applyAlignment="1">
      <alignment horizontal="center" vertical="top" wrapText="1"/>
    </xf>
    <xf numFmtId="1" fontId="6" fillId="2" borderId="1" xfId="0" applyNumberFormat="1" applyFont="1" applyFill="1" applyBorder="1" applyAlignment="1">
      <alignment horizontal="right" vertical="top" wrapText="1"/>
    </xf>
    <xf numFmtId="0" fontId="6" fillId="2" borderId="1" xfId="0" applyFont="1" applyFill="1" applyBorder="1" applyAlignment="1">
      <alignment horizontal="left" vertical="top" wrapText="1"/>
    </xf>
    <xf numFmtId="4" fontId="6" fillId="2" borderId="1" xfId="0" applyNumberFormat="1" applyFont="1" applyFill="1" applyBorder="1" applyAlignment="1">
      <alignment horizontal="right" vertical="top" wrapText="1"/>
    </xf>
    <xf numFmtId="0" fontId="6" fillId="3" borderId="1" xfId="0" applyFont="1" applyFill="1" applyBorder="1" applyAlignment="1">
      <alignment horizontal="left" vertical="top" wrapText="1"/>
    </xf>
    <xf numFmtId="0" fontId="6" fillId="4" borderId="1" xfId="0" applyFont="1" applyFill="1" applyBorder="1" applyAlignment="1">
      <alignment horizontal="left" vertical="top" wrapText="1"/>
    </xf>
    <xf numFmtId="1" fontId="6" fillId="5" borderId="1" xfId="0" applyNumberFormat="1" applyFont="1" applyFill="1" applyBorder="1" applyAlignment="1">
      <alignment horizontal="right" vertical="top" wrapText="1"/>
    </xf>
    <xf numFmtId="0" fontId="6" fillId="5" borderId="1" xfId="0" applyFont="1" applyFill="1" applyBorder="1" applyAlignment="1">
      <alignment horizontal="left" vertical="top" wrapText="1"/>
    </xf>
    <xf numFmtId="0" fontId="0" fillId="5" borderId="0" xfId="0" applyFill="1"/>
    <xf numFmtId="14" fontId="3" fillId="0" borderId="2" xfId="0" applyNumberFormat="1" applyFont="1" applyFill="1" applyBorder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BT163"/>
  <sheetViews>
    <sheetView tabSelected="1" workbookViewId="0">
      <pane ySplit="3" topLeftCell="A4" activePane="bottomLeft" state="frozen"/>
      <selection pane="bottomLeft" activeCell="P6" sqref="P6"/>
    </sheetView>
  </sheetViews>
  <sheetFormatPr defaultColWidth="10.5" defaultRowHeight="11.45" customHeight="1" x14ac:dyDescent="0.2"/>
  <cols>
    <col min="1" max="1" width="17.5" style="1" customWidth="1"/>
    <col min="2" max="3" width="16.33203125" style="1" customWidth="1"/>
    <col min="4" max="4" width="27.1640625" style="1" hidden="1" customWidth="1"/>
    <col min="5" max="5" width="15.1640625" style="1" hidden="1" customWidth="1"/>
    <col min="6" max="6" width="19.33203125" style="1" hidden="1" customWidth="1"/>
    <col min="7" max="8" width="15.1640625" style="1" hidden="1" customWidth="1"/>
    <col min="9" max="9" width="3.5" style="1" hidden="1" customWidth="1"/>
    <col min="10" max="10" width="5" style="1" hidden="1" customWidth="1"/>
    <col min="11" max="12" width="4.6640625" style="1" hidden="1" customWidth="1"/>
    <col min="14" max="14" width="16.6640625" customWidth="1"/>
  </cols>
  <sheetData>
    <row r="1" spans="1:72" ht="27.75" customHeight="1" thickBot="1" x14ac:dyDescent="0.25">
      <c r="A1" s="2"/>
      <c r="B1" s="2"/>
      <c r="C1" s="3" t="s">
        <v>254</v>
      </c>
      <c r="D1" s="2"/>
      <c r="E1" s="4"/>
      <c r="F1" s="2"/>
      <c r="G1" s="4"/>
      <c r="H1" s="2"/>
      <c r="I1" s="2"/>
      <c r="J1" s="34"/>
      <c r="K1" s="34"/>
      <c r="L1" s="34"/>
      <c r="M1" s="34"/>
      <c r="N1" s="5"/>
      <c r="O1" s="5"/>
      <c r="P1" s="5"/>
      <c r="Q1" s="5"/>
      <c r="R1" s="5"/>
      <c r="S1" s="5"/>
      <c r="T1" s="6"/>
      <c r="U1" s="7" t="s">
        <v>180</v>
      </c>
      <c r="V1" s="8"/>
      <c r="W1" s="8"/>
      <c r="X1" s="8"/>
      <c r="Y1" s="8"/>
      <c r="Z1" s="8"/>
      <c r="AA1" s="8"/>
      <c r="AB1" s="8"/>
      <c r="AC1" s="8"/>
      <c r="AD1" s="8"/>
      <c r="AE1" s="8"/>
      <c r="AF1" s="8"/>
      <c r="AG1" s="8"/>
      <c r="AH1" s="8"/>
      <c r="AI1" s="8"/>
      <c r="AJ1" s="8"/>
      <c r="AK1" s="8"/>
      <c r="AL1" s="8"/>
      <c r="AM1" s="8"/>
      <c r="AN1" s="8"/>
      <c r="AO1" s="8"/>
      <c r="AP1" s="8"/>
      <c r="AQ1" s="8"/>
      <c r="AR1" s="8"/>
      <c r="AS1" s="8"/>
      <c r="AT1" s="8"/>
      <c r="AU1" s="8"/>
      <c r="AV1" s="8"/>
      <c r="AW1" s="8"/>
      <c r="AX1" s="8"/>
      <c r="AY1" s="8"/>
      <c r="AZ1" s="8"/>
      <c r="BA1" s="8"/>
      <c r="BB1" s="8"/>
      <c r="BC1" s="8"/>
      <c r="BD1" s="9"/>
      <c r="BE1" s="7" t="s">
        <v>181</v>
      </c>
      <c r="BF1" s="8"/>
      <c r="BG1" s="8"/>
      <c r="BH1" s="8"/>
      <c r="BI1" s="8"/>
      <c r="BJ1" s="8"/>
      <c r="BK1" s="9"/>
      <c r="BL1" s="7" t="s">
        <v>182</v>
      </c>
      <c r="BM1" s="8"/>
      <c r="BN1" s="8"/>
      <c r="BO1" s="8"/>
      <c r="BP1" s="8"/>
      <c r="BQ1" s="8"/>
      <c r="BR1" s="8"/>
      <c r="BS1" s="8"/>
      <c r="BT1" s="9"/>
    </row>
    <row r="2" spans="1:72" ht="135.75" customHeight="1" thickBot="1" x14ac:dyDescent="0.25">
      <c r="A2" s="10" t="s">
        <v>183</v>
      </c>
      <c r="B2" s="11" t="s">
        <v>0</v>
      </c>
      <c r="C2" s="11" t="s">
        <v>184</v>
      </c>
      <c r="D2" s="11" t="s">
        <v>185</v>
      </c>
      <c r="E2" s="12" t="s">
        <v>186</v>
      </c>
      <c r="F2" s="11" t="s">
        <v>187</v>
      </c>
      <c r="G2" s="12" t="s">
        <v>188</v>
      </c>
      <c r="H2" s="11" t="s">
        <v>1</v>
      </c>
      <c r="I2" s="11" t="s">
        <v>189</v>
      </c>
      <c r="J2" s="11" t="s">
        <v>190</v>
      </c>
      <c r="K2" s="11" t="s">
        <v>191</v>
      </c>
      <c r="L2" s="12" t="s">
        <v>192</v>
      </c>
      <c r="M2" s="12" t="s">
        <v>193</v>
      </c>
      <c r="N2" s="12" t="s">
        <v>194</v>
      </c>
      <c r="O2" s="12" t="s">
        <v>195</v>
      </c>
      <c r="P2" s="12" t="s">
        <v>196</v>
      </c>
      <c r="Q2" s="12" t="s">
        <v>197</v>
      </c>
      <c r="R2" s="12" t="s">
        <v>198</v>
      </c>
      <c r="S2" s="12" t="s">
        <v>199</v>
      </c>
      <c r="T2" s="13" t="s">
        <v>200</v>
      </c>
      <c r="U2" s="14" t="s">
        <v>201</v>
      </c>
      <c r="V2" s="15" t="s">
        <v>202</v>
      </c>
      <c r="W2" s="15" t="s">
        <v>203</v>
      </c>
      <c r="X2" s="15" t="s">
        <v>204</v>
      </c>
      <c r="Y2" s="15" t="s">
        <v>205</v>
      </c>
      <c r="Z2" s="15" t="s">
        <v>206</v>
      </c>
      <c r="AA2" s="15" t="s">
        <v>207</v>
      </c>
      <c r="AB2" s="15" t="s">
        <v>208</v>
      </c>
      <c r="AC2" s="15" t="s">
        <v>209</v>
      </c>
      <c r="AD2" s="15" t="s">
        <v>210</v>
      </c>
      <c r="AE2" s="15" t="s">
        <v>211</v>
      </c>
      <c r="AF2" s="15" t="s">
        <v>212</v>
      </c>
      <c r="AG2" s="15" t="s">
        <v>213</v>
      </c>
      <c r="AH2" s="15" t="s">
        <v>214</v>
      </c>
      <c r="AI2" s="15" t="s">
        <v>215</v>
      </c>
      <c r="AJ2" s="15" t="s">
        <v>216</v>
      </c>
      <c r="AK2" s="15" t="s">
        <v>217</v>
      </c>
      <c r="AL2" s="15" t="s">
        <v>218</v>
      </c>
      <c r="AM2" s="15" t="s">
        <v>219</v>
      </c>
      <c r="AN2" s="15" t="s">
        <v>220</v>
      </c>
      <c r="AO2" s="15" t="s">
        <v>221</v>
      </c>
      <c r="AP2" s="15" t="s">
        <v>222</v>
      </c>
      <c r="AQ2" s="15" t="s">
        <v>223</v>
      </c>
      <c r="AR2" s="15" t="s">
        <v>224</v>
      </c>
      <c r="AS2" s="15" t="s">
        <v>225</v>
      </c>
      <c r="AT2" s="15" t="s">
        <v>226</v>
      </c>
      <c r="AU2" s="15" t="s">
        <v>227</v>
      </c>
      <c r="AV2" s="15" t="s">
        <v>228</v>
      </c>
      <c r="AW2" s="15" t="s">
        <v>229</v>
      </c>
      <c r="AX2" s="15" t="s">
        <v>230</v>
      </c>
      <c r="AY2" s="15" t="s">
        <v>231</v>
      </c>
      <c r="AZ2" s="15" t="s">
        <v>232</v>
      </c>
      <c r="BA2" s="15" t="s">
        <v>233</v>
      </c>
      <c r="BB2" s="15" t="s">
        <v>234</v>
      </c>
      <c r="BC2" s="15" t="s">
        <v>235</v>
      </c>
      <c r="BD2" s="16" t="s">
        <v>236</v>
      </c>
      <c r="BE2" s="14" t="s">
        <v>237</v>
      </c>
      <c r="BF2" s="15" t="s">
        <v>238</v>
      </c>
      <c r="BG2" s="15" t="s">
        <v>239</v>
      </c>
      <c r="BH2" s="15" t="s">
        <v>240</v>
      </c>
      <c r="BI2" s="15" t="s">
        <v>241</v>
      </c>
      <c r="BJ2" s="15" t="s">
        <v>242</v>
      </c>
      <c r="BK2" s="16" t="s">
        <v>243</v>
      </c>
      <c r="BL2" s="14" t="s">
        <v>244</v>
      </c>
      <c r="BM2" s="15" t="s">
        <v>245</v>
      </c>
      <c r="BN2" s="15" t="s">
        <v>246</v>
      </c>
      <c r="BO2" s="15" t="s">
        <v>247</v>
      </c>
      <c r="BP2" s="15" t="s">
        <v>248</v>
      </c>
      <c r="BQ2" s="15" t="s">
        <v>249</v>
      </c>
      <c r="BR2" s="15" t="s">
        <v>250</v>
      </c>
      <c r="BS2" s="15" t="s">
        <v>251</v>
      </c>
      <c r="BT2" s="16" t="s">
        <v>252</v>
      </c>
    </row>
    <row r="3" spans="1:72" ht="10.5" customHeight="1" thickBot="1" x14ac:dyDescent="0.25">
      <c r="A3" s="17">
        <v>1</v>
      </c>
      <c r="B3" s="18">
        <v>2</v>
      </c>
      <c r="C3" s="18">
        <v>3</v>
      </c>
      <c r="D3" s="18">
        <v>4</v>
      </c>
      <c r="E3" s="19">
        <v>5</v>
      </c>
      <c r="F3" s="18">
        <v>6</v>
      </c>
      <c r="G3" s="19">
        <v>7</v>
      </c>
      <c r="H3" s="18">
        <v>8</v>
      </c>
      <c r="I3" s="18">
        <v>9</v>
      </c>
      <c r="J3" s="18">
        <v>10</v>
      </c>
      <c r="K3" s="18">
        <v>11</v>
      </c>
      <c r="L3" s="19">
        <v>12</v>
      </c>
      <c r="M3" s="19">
        <v>13</v>
      </c>
      <c r="N3" s="19">
        <v>14</v>
      </c>
      <c r="O3" s="19">
        <v>15</v>
      </c>
      <c r="P3" s="19">
        <v>16</v>
      </c>
      <c r="Q3" s="19">
        <v>17</v>
      </c>
      <c r="R3" s="19">
        <v>18</v>
      </c>
      <c r="S3" s="19">
        <v>19</v>
      </c>
      <c r="T3" s="20">
        <v>20</v>
      </c>
      <c r="U3" s="17">
        <v>21</v>
      </c>
      <c r="V3" s="18">
        <v>22</v>
      </c>
      <c r="W3" s="18">
        <v>23</v>
      </c>
      <c r="X3" s="18">
        <v>24</v>
      </c>
      <c r="Y3" s="18">
        <v>25</v>
      </c>
      <c r="Z3" s="18">
        <v>26</v>
      </c>
      <c r="AA3" s="18">
        <v>27</v>
      </c>
      <c r="AB3" s="18">
        <v>28</v>
      </c>
      <c r="AC3" s="18">
        <v>29</v>
      </c>
      <c r="AD3" s="18">
        <v>30</v>
      </c>
      <c r="AE3" s="18">
        <v>31</v>
      </c>
      <c r="AF3" s="18">
        <v>32</v>
      </c>
      <c r="AG3" s="18">
        <v>33</v>
      </c>
      <c r="AH3" s="18">
        <v>34</v>
      </c>
      <c r="AI3" s="18">
        <v>35</v>
      </c>
      <c r="AJ3" s="18">
        <v>36</v>
      </c>
      <c r="AK3" s="18">
        <v>37</v>
      </c>
      <c r="AL3" s="18">
        <v>38</v>
      </c>
      <c r="AM3" s="18">
        <v>39</v>
      </c>
      <c r="AN3" s="18">
        <v>40</v>
      </c>
      <c r="AO3" s="18">
        <v>41</v>
      </c>
      <c r="AP3" s="18">
        <v>42</v>
      </c>
      <c r="AQ3" s="18">
        <v>43</v>
      </c>
      <c r="AR3" s="18">
        <v>44</v>
      </c>
      <c r="AS3" s="18">
        <v>45</v>
      </c>
      <c r="AT3" s="18">
        <v>46</v>
      </c>
      <c r="AU3" s="18">
        <v>47</v>
      </c>
      <c r="AV3" s="18">
        <v>48</v>
      </c>
      <c r="AW3" s="18">
        <v>49</v>
      </c>
      <c r="AX3" s="18">
        <v>50</v>
      </c>
      <c r="AY3" s="18">
        <v>51</v>
      </c>
      <c r="AZ3" s="18">
        <v>52</v>
      </c>
      <c r="BA3" s="18">
        <v>53</v>
      </c>
      <c r="BB3" s="18">
        <v>54</v>
      </c>
      <c r="BC3" s="18">
        <v>55</v>
      </c>
      <c r="BD3" s="21">
        <v>56</v>
      </c>
      <c r="BE3" s="17">
        <v>57</v>
      </c>
      <c r="BF3" s="18">
        <v>58</v>
      </c>
      <c r="BG3" s="18">
        <v>59</v>
      </c>
      <c r="BH3" s="18">
        <v>60</v>
      </c>
      <c r="BI3" s="18">
        <v>61</v>
      </c>
      <c r="BJ3" s="18">
        <v>62</v>
      </c>
      <c r="BK3" s="21">
        <v>63</v>
      </c>
      <c r="BL3" s="17">
        <v>64</v>
      </c>
      <c r="BM3" s="18">
        <v>65</v>
      </c>
      <c r="BN3" s="18">
        <v>66</v>
      </c>
      <c r="BO3" s="18">
        <v>67</v>
      </c>
      <c r="BP3" s="18">
        <v>68</v>
      </c>
      <c r="BQ3" s="18">
        <v>69</v>
      </c>
      <c r="BR3" s="18">
        <v>70</v>
      </c>
      <c r="BS3" s="18">
        <v>71</v>
      </c>
      <c r="BT3" s="21">
        <v>72</v>
      </c>
    </row>
    <row r="4" spans="1:72" ht="31.5" x14ac:dyDescent="0.2">
      <c r="A4" s="23" t="s">
        <v>253</v>
      </c>
      <c r="B4" s="23"/>
      <c r="C4" s="23"/>
      <c r="D4" s="23"/>
      <c r="E4" s="24"/>
      <c r="F4" s="23"/>
      <c r="G4" s="24"/>
      <c r="H4" s="24"/>
      <c r="I4" s="23"/>
      <c r="J4" s="23"/>
      <c r="K4" s="23"/>
      <c r="L4" s="25"/>
      <c r="M4" s="22">
        <f>SUM(M5:M171)</f>
        <v>0</v>
      </c>
      <c r="N4" s="22">
        <f>SUM(N5:N171)</f>
        <v>1494380148.9696498</v>
      </c>
      <c r="O4" s="22">
        <f>SUM(O5:O171)</f>
        <v>4013979.8714700001</v>
      </c>
      <c r="P4" s="22">
        <f t="shared" ref="P4:V4" si="0">SUM(P5:P171)</f>
        <v>2906936.3818229996</v>
      </c>
      <c r="Q4" s="22">
        <f t="shared" si="0"/>
        <v>1984631</v>
      </c>
      <c r="R4" s="22">
        <f t="shared" si="0"/>
        <v>63135.777999999998</v>
      </c>
      <c r="S4" s="22">
        <f t="shared" si="0"/>
        <v>1365081.2250000001</v>
      </c>
      <c r="T4" s="22">
        <f t="shared" si="0"/>
        <v>0</v>
      </c>
      <c r="U4" s="22">
        <f t="shared" si="0"/>
        <v>23</v>
      </c>
      <c r="V4" s="22">
        <f t="shared" si="0"/>
        <v>28</v>
      </c>
      <c r="W4" s="22">
        <f t="shared" ref="W4" si="1">SUM(W5:W171)</f>
        <v>11</v>
      </c>
      <c r="X4" s="22">
        <f t="shared" ref="X4" si="2">SUM(X5:X171)</f>
        <v>6</v>
      </c>
      <c r="Y4" s="22">
        <f t="shared" ref="Y4" si="3">SUM(Y5:Y171)</f>
        <v>15</v>
      </c>
      <c r="Z4" s="22">
        <f t="shared" ref="Z4" si="4">SUM(Z5:Z171)</f>
        <v>38</v>
      </c>
      <c r="AA4" s="22">
        <f t="shared" ref="AA4" si="5">SUM(AA5:AA171)</f>
        <v>28</v>
      </c>
      <c r="AB4" s="22">
        <f t="shared" ref="AB4" si="6">SUM(AB5:AB171)</f>
        <v>23</v>
      </c>
      <c r="AC4" s="22">
        <f t="shared" ref="AC4" si="7">SUM(AC5:AC171)</f>
        <v>20</v>
      </c>
      <c r="AD4" s="22">
        <f t="shared" ref="AD4" si="8">SUM(AD5:AD171)</f>
        <v>20</v>
      </c>
      <c r="AE4" s="22">
        <f t="shared" ref="AE4" si="9">SUM(AE5:AE171)</f>
        <v>26</v>
      </c>
      <c r="AF4" s="22">
        <f t="shared" ref="AF4" si="10">SUM(AF5:AF171)</f>
        <v>22</v>
      </c>
      <c r="AG4" s="22">
        <f t="shared" ref="AG4" si="11">SUM(AG5:AG171)</f>
        <v>23</v>
      </c>
      <c r="AH4" s="22">
        <f t="shared" ref="AH4" si="12">SUM(AH5:AH171)</f>
        <v>20</v>
      </c>
      <c r="AI4" s="22">
        <f t="shared" ref="AI4" si="13">SUM(AI5:AI171)</f>
        <v>13</v>
      </c>
      <c r="AJ4" s="22">
        <f t="shared" ref="AJ4" si="14">SUM(AJ5:AJ171)</f>
        <v>11</v>
      </c>
      <c r="AK4" s="22">
        <f t="shared" ref="AK4" si="15">SUM(AK5:AK171)</f>
        <v>19</v>
      </c>
      <c r="AL4" s="22">
        <f t="shared" ref="AL4" si="16">SUM(AL5:AL171)</f>
        <v>20</v>
      </c>
      <c r="AM4" s="22">
        <f t="shared" ref="AM4" si="17">SUM(AM5:AM171)</f>
        <v>14</v>
      </c>
      <c r="AN4" s="22">
        <f t="shared" ref="AN4" si="18">SUM(AN5:AN171)</f>
        <v>7</v>
      </c>
      <c r="AO4" s="22">
        <f t="shared" ref="AO4" si="19">SUM(AO5:AO171)</f>
        <v>9</v>
      </c>
      <c r="AP4" s="22">
        <f t="shared" ref="AP4" si="20">SUM(AP5:AP171)</f>
        <v>12</v>
      </c>
      <c r="AQ4" s="22">
        <f t="shared" ref="AQ4" si="21">SUM(AQ5:AQ171)</f>
        <v>2</v>
      </c>
      <c r="AR4" s="22">
        <f t="shared" ref="AR4" si="22">SUM(AR5:AR171)</f>
        <v>7</v>
      </c>
      <c r="AS4" s="22">
        <f t="shared" ref="AS4" si="23">SUM(AS5:AS171)</f>
        <v>5</v>
      </c>
      <c r="AT4" s="22">
        <f t="shared" ref="AT4" si="24">SUM(AT5:AT171)</f>
        <v>2</v>
      </c>
      <c r="AU4" s="22">
        <f t="shared" ref="AU4" si="25">SUM(AU5:AU171)</f>
        <v>13</v>
      </c>
      <c r="AV4" s="22">
        <f t="shared" ref="AV4" si="26">SUM(AV5:AV171)</f>
        <v>7</v>
      </c>
      <c r="AW4" s="22">
        <f t="shared" ref="AW4" si="27">SUM(AW5:AW171)</f>
        <v>0</v>
      </c>
      <c r="AX4" s="22">
        <f t="shared" ref="AX4" si="28">SUM(AX5:AX171)</f>
        <v>0</v>
      </c>
      <c r="AY4" s="22">
        <f t="shared" ref="AY4" si="29">SUM(AY5:AY171)</f>
        <v>2</v>
      </c>
      <c r="AZ4" s="22">
        <f t="shared" ref="AZ4" si="30">SUM(AZ5:AZ171)</f>
        <v>1</v>
      </c>
      <c r="BA4" s="22">
        <f t="shared" ref="BA4" si="31">SUM(BA5:BA171)</f>
        <v>2</v>
      </c>
      <c r="BB4" s="22">
        <f t="shared" ref="BB4" si="32">SUM(BB5:BB171)</f>
        <v>14</v>
      </c>
      <c r="BC4" s="22">
        <f t="shared" ref="BC4" si="33">SUM(BC5:BC171)</f>
        <v>3</v>
      </c>
      <c r="BD4" s="22">
        <f t="shared" ref="BD4" si="34">SUM(BD5:BD171)</f>
        <v>2</v>
      </c>
      <c r="BE4" s="22">
        <f t="shared" ref="BE4" si="35">SUM(BE5:BE171)</f>
        <v>18</v>
      </c>
      <c r="BF4" s="22">
        <f t="shared" ref="BF4" si="36">SUM(BF5:BF171)</f>
        <v>13</v>
      </c>
      <c r="BG4" s="22">
        <f t="shared" ref="BG4" si="37">SUM(BG5:BG171)</f>
        <v>28</v>
      </c>
      <c r="BH4" s="22">
        <f t="shared" ref="BH4" si="38">SUM(BH5:BH171)</f>
        <v>34</v>
      </c>
      <c r="BI4" s="22">
        <f t="shared" ref="BI4" si="39">SUM(BI5:BI171)</f>
        <v>0</v>
      </c>
      <c r="BJ4" s="22">
        <f t="shared" ref="BJ4" si="40">SUM(BJ5:BJ171)</f>
        <v>26</v>
      </c>
      <c r="BK4" s="22">
        <f t="shared" ref="BK4" si="41">SUM(BK5:BK171)</f>
        <v>8</v>
      </c>
      <c r="BL4" s="22">
        <f t="shared" ref="BL4" si="42">SUM(BL5:BL171)</f>
        <v>21</v>
      </c>
      <c r="BM4" s="22">
        <f t="shared" ref="BM4" si="43">SUM(BM5:BM171)</f>
        <v>21</v>
      </c>
      <c r="BN4" s="22">
        <f t="shared" ref="BN4" si="44">SUM(BN5:BN171)</f>
        <v>17</v>
      </c>
      <c r="BO4" s="22">
        <f t="shared" ref="BO4" si="45">SUM(BO5:BO171)</f>
        <v>4</v>
      </c>
      <c r="BP4" s="22">
        <f t="shared" ref="BP4" si="46">SUM(BP5:BP171)</f>
        <v>8</v>
      </c>
      <c r="BQ4" s="22">
        <f t="shared" ref="BQ4" si="47">SUM(BQ5:BQ171)</f>
        <v>0</v>
      </c>
      <c r="BR4" s="22">
        <f t="shared" ref="BR4" si="48">SUM(BR5:BR171)</f>
        <v>34</v>
      </c>
      <c r="BS4" s="22">
        <f t="shared" ref="BS4" si="49">SUM(BS5:BS171)</f>
        <v>17</v>
      </c>
      <c r="BT4" s="22">
        <f t="shared" ref="BT4" si="50">SUM(BT5:BT171)</f>
        <v>11</v>
      </c>
    </row>
    <row r="5" spans="1:72" ht="63" x14ac:dyDescent="0.2">
      <c r="A5" s="26">
        <v>11</v>
      </c>
      <c r="B5" s="27" t="s">
        <v>2</v>
      </c>
      <c r="C5" s="27" t="s">
        <v>3</v>
      </c>
      <c r="D5" s="27" t="s">
        <v>4</v>
      </c>
      <c r="E5" s="28">
        <v>500000</v>
      </c>
      <c r="F5" s="27" t="s">
        <v>5</v>
      </c>
      <c r="G5" s="28">
        <v>4500000</v>
      </c>
      <c r="H5" s="29" t="s">
        <v>6</v>
      </c>
      <c r="I5" s="27" t="s">
        <v>7</v>
      </c>
      <c r="J5" s="27" t="s">
        <v>7</v>
      </c>
      <c r="K5" s="27" t="s">
        <v>8</v>
      </c>
      <c r="L5" s="27" t="s">
        <v>7</v>
      </c>
      <c r="N5">
        <f>268734+249527+247422299.57+158580398.32+59882563.71+22355114.81+77147257.61+382218103.31+97808988.07+104150635.56+255918266.14+3461815.38+3441114.8</f>
        <v>1412904818.28</v>
      </c>
      <c r="U5">
        <v>1</v>
      </c>
      <c r="V5">
        <v>1</v>
      </c>
      <c r="W5">
        <v>1</v>
      </c>
      <c r="X5">
        <v>1</v>
      </c>
      <c r="Y5">
        <v>1</v>
      </c>
      <c r="Z5">
        <v>1</v>
      </c>
      <c r="AA5">
        <v>1</v>
      </c>
      <c r="AB5">
        <v>1</v>
      </c>
      <c r="AC5">
        <v>1</v>
      </c>
      <c r="AD5">
        <v>1</v>
      </c>
      <c r="AE5">
        <v>1</v>
      </c>
      <c r="AF5">
        <v>1</v>
      </c>
      <c r="AG5">
        <v>1</v>
      </c>
      <c r="AH5">
        <v>1</v>
      </c>
      <c r="AI5">
        <v>1</v>
      </c>
      <c r="AJ5">
        <v>1</v>
      </c>
      <c r="AK5">
        <v>1</v>
      </c>
      <c r="AL5">
        <v>1</v>
      </c>
      <c r="AM5">
        <v>1</v>
      </c>
      <c r="AN5">
        <v>1</v>
      </c>
      <c r="AO5">
        <v>1</v>
      </c>
      <c r="AP5">
        <v>1</v>
      </c>
      <c r="AR5">
        <v>1</v>
      </c>
      <c r="AU5">
        <v>1</v>
      </c>
      <c r="AV5">
        <v>1</v>
      </c>
      <c r="BB5">
        <v>1</v>
      </c>
      <c r="BE5">
        <v>1</v>
      </c>
      <c r="BF5">
        <v>1</v>
      </c>
      <c r="BG5">
        <v>1</v>
      </c>
      <c r="BH5">
        <v>1</v>
      </c>
      <c r="BJ5">
        <v>1</v>
      </c>
      <c r="BL5">
        <v>1</v>
      </c>
      <c r="BM5">
        <v>1</v>
      </c>
      <c r="BN5">
        <v>1</v>
      </c>
      <c r="BO5">
        <v>1</v>
      </c>
      <c r="BP5">
        <v>1</v>
      </c>
      <c r="BS5">
        <v>1</v>
      </c>
    </row>
    <row r="6" spans="1:72" ht="63" x14ac:dyDescent="0.2">
      <c r="A6" s="26">
        <v>14</v>
      </c>
      <c r="B6" s="27" t="s">
        <v>2</v>
      </c>
      <c r="C6" s="27" t="s">
        <v>9</v>
      </c>
      <c r="D6" s="27" t="s">
        <v>4</v>
      </c>
      <c r="E6" s="28">
        <v>500000</v>
      </c>
      <c r="F6" s="27" t="s">
        <v>4</v>
      </c>
      <c r="G6" s="28">
        <v>2500000</v>
      </c>
      <c r="H6" s="29" t="s">
        <v>6</v>
      </c>
      <c r="I6" s="27" t="s">
        <v>7</v>
      </c>
      <c r="J6" s="27" t="s">
        <v>8</v>
      </c>
      <c r="K6" s="27" t="s">
        <v>8</v>
      </c>
      <c r="L6" s="27" t="s">
        <v>7</v>
      </c>
    </row>
    <row r="7" spans="1:72" ht="63" x14ac:dyDescent="0.2">
      <c r="A7" s="26">
        <v>19</v>
      </c>
      <c r="B7" s="27" t="s">
        <v>2</v>
      </c>
      <c r="C7" s="27" t="s">
        <v>10</v>
      </c>
      <c r="D7" s="27" t="s">
        <v>11</v>
      </c>
      <c r="E7" s="28">
        <v>100000</v>
      </c>
      <c r="F7" s="27" t="s">
        <v>11</v>
      </c>
      <c r="G7" s="28">
        <v>271434.02</v>
      </c>
      <c r="H7" s="29" t="s">
        <v>6</v>
      </c>
      <c r="I7" s="27" t="s">
        <v>7</v>
      </c>
      <c r="J7" s="27" t="s">
        <v>8</v>
      </c>
      <c r="K7" s="27" t="s">
        <v>8</v>
      </c>
      <c r="L7" s="27" t="s">
        <v>7</v>
      </c>
    </row>
    <row r="8" spans="1:72" ht="63" x14ac:dyDescent="0.2">
      <c r="A8" s="26">
        <v>22</v>
      </c>
      <c r="B8" s="27" t="s">
        <v>2</v>
      </c>
      <c r="C8" s="27" t="s">
        <v>12</v>
      </c>
      <c r="D8" s="27" t="s">
        <v>11</v>
      </c>
      <c r="E8" s="28">
        <v>100000</v>
      </c>
      <c r="F8" s="27" t="s">
        <v>11</v>
      </c>
      <c r="G8" s="28">
        <v>271434.02</v>
      </c>
      <c r="H8" s="29" t="s">
        <v>6</v>
      </c>
      <c r="I8" s="27" t="s">
        <v>7</v>
      </c>
      <c r="J8" s="27" t="s">
        <v>8</v>
      </c>
      <c r="K8" s="27" t="s">
        <v>8</v>
      </c>
      <c r="L8" s="27" t="s">
        <v>7</v>
      </c>
    </row>
    <row r="9" spans="1:72" ht="63" x14ac:dyDescent="0.2">
      <c r="A9" s="26">
        <v>27</v>
      </c>
      <c r="B9" s="27" t="s">
        <v>2</v>
      </c>
      <c r="C9" s="27" t="s">
        <v>13</v>
      </c>
      <c r="D9" s="27" t="s">
        <v>11</v>
      </c>
      <c r="E9" s="28">
        <v>100000</v>
      </c>
      <c r="F9" s="27" t="s">
        <v>11</v>
      </c>
      <c r="G9" s="28">
        <v>271434.02</v>
      </c>
      <c r="H9" s="30" t="s">
        <v>14</v>
      </c>
      <c r="I9" s="27" t="s">
        <v>7</v>
      </c>
      <c r="J9" s="27" t="s">
        <v>8</v>
      </c>
      <c r="K9" s="27" t="s">
        <v>8</v>
      </c>
      <c r="L9" s="27" t="s">
        <v>7</v>
      </c>
    </row>
    <row r="10" spans="1:72" ht="63" x14ac:dyDescent="0.2">
      <c r="A10" s="26">
        <v>28</v>
      </c>
      <c r="B10" s="27" t="s">
        <v>2</v>
      </c>
      <c r="C10" s="27" t="s">
        <v>15</v>
      </c>
      <c r="D10" s="27" t="s">
        <v>11</v>
      </c>
      <c r="E10" s="28">
        <v>100000</v>
      </c>
      <c r="F10" s="27" t="s">
        <v>11</v>
      </c>
      <c r="G10" s="28">
        <v>271434.02</v>
      </c>
      <c r="H10" s="29" t="s">
        <v>6</v>
      </c>
      <c r="I10" s="27" t="s">
        <v>7</v>
      </c>
      <c r="J10" s="27" t="s">
        <v>8</v>
      </c>
      <c r="K10" s="27" t="s">
        <v>8</v>
      </c>
      <c r="L10" s="27" t="s">
        <v>7</v>
      </c>
    </row>
    <row r="11" spans="1:72" ht="63" x14ac:dyDescent="0.2">
      <c r="A11" s="26">
        <v>29</v>
      </c>
      <c r="B11" s="27" t="s">
        <v>2</v>
      </c>
      <c r="C11" s="27" t="s">
        <v>16</v>
      </c>
      <c r="D11" s="27" t="s">
        <v>11</v>
      </c>
      <c r="E11" s="28">
        <v>100000</v>
      </c>
      <c r="F11" s="27" t="s">
        <v>11</v>
      </c>
      <c r="G11" s="28">
        <v>271434.02</v>
      </c>
      <c r="H11" s="29" t="s">
        <v>6</v>
      </c>
      <c r="I11" s="27" t="s">
        <v>7</v>
      </c>
      <c r="J11" s="27" t="s">
        <v>7</v>
      </c>
      <c r="K11" s="27" t="s">
        <v>8</v>
      </c>
      <c r="L11" s="27" t="s">
        <v>7</v>
      </c>
    </row>
    <row r="12" spans="1:72" ht="63" x14ac:dyDescent="0.2">
      <c r="A12" s="26">
        <v>35</v>
      </c>
      <c r="B12" s="27" t="s">
        <v>2</v>
      </c>
      <c r="C12" s="27" t="s">
        <v>17</v>
      </c>
      <c r="D12" s="27" t="s">
        <v>4</v>
      </c>
      <c r="E12" s="28">
        <v>500000</v>
      </c>
      <c r="F12" s="27" t="s">
        <v>5</v>
      </c>
      <c r="G12" s="28">
        <v>4500000</v>
      </c>
      <c r="H12" s="29" t="s">
        <v>6</v>
      </c>
      <c r="I12" s="27" t="s">
        <v>7</v>
      </c>
      <c r="J12" s="27" t="s">
        <v>7</v>
      </c>
      <c r="K12" s="27" t="s">
        <v>8</v>
      </c>
      <c r="L12" s="27" t="s">
        <v>7</v>
      </c>
    </row>
    <row r="13" spans="1:72" ht="63" x14ac:dyDescent="0.2">
      <c r="A13" s="26">
        <v>36</v>
      </c>
      <c r="B13" s="27" t="s">
        <v>2</v>
      </c>
      <c r="C13" s="27" t="s">
        <v>18</v>
      </c>
      <c r="D13" s="27" t="s">
        <v>11</v>
      </c>
      <c r="E13" s="28">
        <v>100000</v>
      </c>
      <c r="F13" s="27" t="s">
        <v>11</v>
      </c>
      <c r="G13" s="28">
        <v>271434.02</v>
      </c>
      <c r="H13" s="29" t="s">
        <v>6</v>
      </c>
      <c r="I13" s="27" t="s">
        <v>7</v>
      </c>
      <c r="J13" s="27" t="s">
        <v>7</v>
      </c>
      <c r="K13" s="27" t="s">
        <v>8</v>
      </c>
      <c r="L13" s="27" t="s">
        <v>7</v>
      </c>
    </row>
    <row r="14" spans="1:72" ht="63" x14ac:dyDescent="0.2">
      <c r="A14" s="26">
        <v>38</v>
      </c>
      <c r="B14" s="27" t="s">
        <v>2</v>
      </c>
      <c r="C14" s="27" t="s">
        <v>19</v>
      </c>
      <c r="D14" s="27" t="s">
        <v>4</v>
      </c>
      <c r="E14" s="28">
        <v>500000</v>
      </c>
      <c r="F14" s="27" t="s">
        <v>11</v>
      </c>
      <c r="G14" s="28">
        <v>200000</v>
      </c>
      <c r="H14" s="29" t="s">
        <v>6</v>
      </c>
      <c r="I14" s="27" t="s">
        <v>7</v>
      </c>
      <c r="J14" s="27" t="s">
        <v>8</v>
      </c>
      <c r="K14" s="27" t="s">
        <v>8</v>
      </c>
      <c r="L14" s="27" t="s">
        <v>7</v>
      </c>
    </row>
    <row r="15" spans="1:72" ht="63" x14ac:dyDescent="0.2">
      <c r="A15" s="26">
        <v>39</v>
      </c>
      <c r="B15" s="27" t="s">
        <v>2</v>
      </c>
      <c r="C15" s="27" t="s">
        <v>20</v>
      </c>
      <c r="D15" s="27" t="s">
        <v>11</v>
      </c>
      <c r="E15" s="28">
        <v>300000</v>
      </c>
      <c r="F15" s="27"/>
      <c r="G15" s="27"/>
      <c r="H15" s="29" t="s">
        <v>6</v>
      </c>
      <c r="I15" s="27" t="s">
        <v>7</v>
      </c>
      <c r="J15" s="27" t="s">
        <v>7</v>
      </c>
      <c r="K15" s="27" t="s">
        <v>8</v>
      </c>
      <c r="L15" s="27" t="s">
        <v>8</v>
      </c>
    </row>
    <row r="16" spans="1:72" ht="63" x14ac:dyDescent="0.2">
      <c r="A16" s="26">
        <v>40</v>
      </c>
      <c r="B16" s="27" t="s">
        <v>2</v>
      </c>
      <c r="C16" s="27" t="s">
        <v>21</v>
      </c>
      <c r="D16" s="27" t="s">
        <v>4</v>
      </c>
      <c r="E16" s="28">
        <v>500000</v>
      </c>
      <c r="F16" s="27" t="s">
        <v>4</v>
      </c>
      <c r="G16" s="28">
        <v>2500000</v>
      </c>
      <c r="H16" s="29" t="s">
        <v>6</v>
      </c>
      <c r="I16" s="27" t="s">
        <v>7</v>
      </c>
      <c r="J16" s="27" t="s">
        <v>8</v>
      </c>
      <c r="K16" s="27" t="s">
        <v>8</v>
      </c>
      <c r="L16" s="27" t="s">
        <v>7</v>
      </c>
    </row>
    <row r="17" spans="1:71" ht="63" x14ac:dyDescent="0.2">
      <c r="A17" s="26">
        <v>41</v>
      </c>
      <c r="B17" s="27" t="s">
        <v>2</v>
      </c>
      <c r="C17" s="27" t="s">
        <v>22</v>
      </c>
      <c r="D17" s="27" t="s">
        <v>4</v>
      </c>
      <c r="E17" s="28">
        <v>500000</v>
      </c>
      <c r="F17" s="27" t="s">
        <v>4</v>
      </c>
      <c r="G17" s="28">
        <v>2500000</v>
      </c>
      <c r="H17" s="29" t="s">
        <v>6</v>
      </c>
      <c r="I17" s="27" t="s">
        <v>7</v>
      </c>
      <c r="J17" s="27" t="s">
        <v>7</v>
      </c>
      <c r="K17" s="27" t="s">
        <v>8</v>
      </c>
      <c r="L17" s="27" t="s">
        <v>7</v>
      </c>
    </row>
    <row r="18" spans="1:71" ht="63" x14ac:dyDescent="0.2">
      <c r="A18" s="26">
        <v>42</v>
      </c>
      <c r="B18" s="27" t="s">
        <v>2</v>
      </c>
      <c r="C18" s="27" t="s">
        <v>23</v>
      </c>
      <c r="D18" s="27" t="s">
        <v>4</v>
      </c>
      <c r="E18" s="28">
        <v>500000</v>
      </c>
      <c r="F18" s="27" t="s">
        <v>11</v>
      </c>
      <c r="G18" s="28">
        <v>738113.4</v>
      </c>
      <c r="H18" s="30" t="s">
        <v>14</v>
      </c>
      <c r="I18" s="27" t="s">
        <v>7</v>
      </c>
      <c r="J18" s="27" t="s">
        <v>8</v>
      </c>
      <c r="K18" s="27" t="s">
        <v>8</v>
      </c>
      <c r="L18" s="27" t="s">
        <v>7</v>
      </c>
    </row>
    <row r="19" spans="1:71" ht="63" x14ac:dyDescent="0.2">
      <c r="A19" s="26">
        <v>52</v>
      </c>
      <c r="B19" s="27" t="s">
        <v>2</v>
      </c>
      <c r="C19" s="27" t="s">
        <v>24</v>
      </c>
      <c r="D19" s="27" t="s">
        <v>5</v>
      </c>
      <c r="E19" s="28">
        <v>1600000</v>
      </c>
      <c r="F19" s="27" t="s">
        <v>5</v>
      </c>
      <c r="G19" s="28">
        <v>4700000</v>
      </c>
      <c r="H19" s="29" t="s">
        <v>6</v>
      </c>
      <c r="I19" s="27" t="s">
        <v>7</v>
      </c>
      <c r="J19" s="27" t="s">
        <v>8</v>
      </c>
      <c r="K19" s="27" t="s">
        <v>8</v>
      </c>
      <c r="L19" s="27" t="s">
        <v>7</v>
      </c>
      <c r="N19">
        <f>10561.387+8226.312+11216.702+191987.787+244190.291+11160.012+301288.892+47592.604+48597.703+2294.388+259346.669+171797.82</f>
        <v>1308260.567</v>
      </c>
      <c r="P19">
        <v>1022.602</v>
      </c>
      <c r="V19">
        <v>1</v>
      </c>
      <c r="Z19">
        <v>1</v>
      </c>
      <c r="AA19">
        <v>1</v>
      </c>
      <c r="AB19">
        <v>1</v>
      </c>
      <c r="AC19">
        <v>1</v>
      </c>
      <c r="AD19">
        <v>1</v>
      </c>
      <c r="AE19">
        <v>1</v>
      </c>
      <c r="AF19">
        <v>1</v>
      </c>
      <c r="AG19">
        <v>1</v>
      </c>
      <c r="BB19">
        <v>1</v>
      </c>
      <c r="BG19">
        <v>1</v>
      </c>
      <c r="BH19">
        <v>1</v>
      </c>
      <c r="BL19">
        <v>1</v>
      </c>
      <c r="BM19">
        <v>1</v>
      </c>
      <c r="BR19">
        <v>1</v>
      </c>
      <c r="BS19">
        <v>1</v>
      </c>
    </row>
    <row r="20" spans="1:71" ht="63" x14ac:dyDescent="0.2">
      <c r="A20" s="26">
        <v>55</v>
      </c>
      <c r="B20" s="27" t="s">
        <v>25</v>
      </c>
      <c r="C20" s="27" t="s">
        <v>26</v>
      </c>
      <c r="D20" s="27" t="s">
        <v>11</v>
      </c>
      <c r="E20" s="28">
        <v>100000</v>
      </c>
      <c r="F20" s="27" t="s">
        <v>11</v>
      </c>
      <c r="G20" s="28">
        <v>271434.02</v>
      </c>
      <c r="H20" s="29" t="s">
        <v>6</v>
      </c>
      <c r="I20" s="27" t="s">
        <v>7</v>
      </c>
      <c r="J20" s="27" t="s">
        <v>8</v>
      </c>
      <c r="K20" s="27" t="s">
        <v>8</v>
      </c>
      <c r="L20" s="27" t="s">
        <v>7</v>
      </c>
    </row>
    <row r="21" spans="1:71" ht="63" x14ac:dyDescent="0.2">
      <c r="A21" s="26">
        <v>56</v>
      </c>
      <c r="B21" s="27" t="s">
        <v>2</v>
      </c>
      <c r="C21" s="27" t="s">
        <v>27</v>
      </c>
      <c r="D21" s="27" t="s">
        <v>5</v>
      </c>
      <c r="E21" s="28">
        <v>1500000</v>
      </c>
      <c r="F21" s="27" t="s">
        <v>5</v>
      </c>
      <c r="G21" s="28">
        <v>4500000</v>
      </c>
      <c r="H21" s="29" t="s">
        <v>6</v>
      </c>
      <c r="I21" s="27" t="s">
        <v>7</v>
      </c>
      <c r="J21" s="27" t="s">
        <v>8</v>
      </c>
      <c r="K21" s="27" t="s">
        <v>8</v>
      </c>
      <c r="L21" s="27" t="s">
        <v>7</v>
      </c>
    </row>
    <row r="22" spans="1:71" ht="63" x14ac:dyDescent="0.2">
      <c r="A22" s="26">
        <v>60</v>
      </c>
      <c r="B22" s="27" t="s">
        <v>2</v>
      </c>
      <c r="C22" s="27" t="s">
        <v>28</v>
      </c>
      <c r="D22" s="27" t="s">
        <v>4</v>
      </c>
      <c r="E22" s="28">
        <v>500000</v>
      </c>
      <c r="F22" s="27" t="s">
        <v>4</v>
      </c>
      <c r="G22" s="28">
        <v>2500000</v>
      </c>
      <c r="H22" s="29" t="s">
        <v>6</v>
      </c>
      <c r="I22" s="27" t="s">
        <v>7</v>
      </c>
      <c r="J22" s="27" t="s">
        <v>8</v>
      </c>
      <c r="K22" s="27" t="s">
        <v>8</v>
      </c>
      <c r="L22" s="27" t="s">
        <v>7</v>
      </c>
    </row>
    <row r="23" spans="1:71" ht="63" x14ac:dyDescent="0.2">
      <c r="A23" s="26">
        <v>69</v>
      </c>
      <c r="B23" s="27" t="s">
        <v>2</v>
      </c>
      <c r="C23" s="27" t="s">
        <v>29</v>
      </c>
      <c r="D23" s="27" t="s">
        <v>11</v>
      </c>
      <c r="E23" s="28">
        <v>100000</v>
      </c>
      <c r="F23" s="27" t="s">
        <v>11</v>
      </c>
      <c r="G23" s="28">
        <v>519056.7</v>
      </c>
      <c r="H23" s="29" t="s">
        <v>6</v>
      </c>
      <c r="I23" s="27" t="s">
        <v>7</v>
      </c>
      <c r="J23" s="27" t="s">
        <v>7</v>
      </c>
      <c r="K23" s="27" t="s">
        <v>8</v>
      </c>
      <c r="L23" s="27" t="s">
        <v>7</v>
      </c>
    </row>
    <row r="24" spans="1:71" ht="63" x14ac:dyDescent="0.2">
      <c r="A24" s="26">
        <v>76</v>
      </c>
      <c r="B24" s="27" t="s">
        <v>2</v>
      </c>
      <c r="C24" s="27" t="s">
        <v>30</v>
      </c>
      <c r="D24" s="27" t="s">
        <v>4</v>
      </c>
      <c r="E24" s="28">
        <v>800000</v>
      </c>
      <c r="F24" s="27" t="s">
        <v>11</v>
      </c>
      <c r="G24" s="28">
        <v>438113.4</v>
      </c>
      <c r="H24" s="29" t="s">
        <v>6</v>
      </c>
      <c r="I24" s="27" t="s">
        <v>7</v>
      </c>
      <c r="J24" s="27" t="s">
        <v>7</v>
      </c>
      <c r="K24" s="27" t="s">
        <v>8</v>
      </c>
      <c r="L24" s="27" t="s">
        <v>7</v>
      </c>
    </row>
    <row r="25" spans="1:71" ht="63" x14ac:dyDescent="0.2">
      <c r="A25" s="26">
        <v>77</v>
      </c>
      <c r="B25" s="27" t="s">
        <v>2</v>
      </c>
      <c r="C25" s="27" t="s">
        <v>31</v>
      </c>
      <c r="D25" s="27" t="s">
        <v>11</v>
      </c>
      <c r="E25" s="28">
        <v>300000</v>
      </c>
      <c r="F25" s="27"/>
      <c r="G25" s="27"/>
      <c r="H25" s="29" t="s">
        <v>6</v>
      </c>
      <c r="I25" s="27" t="s">
        <v>7</v>
      </c>
      <c r="J25" s="27" t="s">
        <v>8</v>
      </c>
      <c r="K25" s="27" t="s">
        <v>8</v>
      </c>
      <c r="L25" s="27" t="s">
        <v>8</v>
      </c>
    </row>
    <row r="26" spans="1:71" ht="63" x14ac:dyDescent="0.2">
      <c r="A26" s="26">
        <v>79</v>
      </c>
      <c r="B26" s="27" t="s">
        <v>2</v>
      </c>
      <c r="C26" s="27" t="s">
        <v>32</v>
      </c>
      <c r="D26" s="27" t="s">
        <v>4</v>
      </c>
      <c r="E26" s="28">
        <v>500000</v>
      </c>
      <c r="F26" s="27" t="s">
        <v>11</v>
      </c>
      <c r="G26" s="28">
        <v>738113.4</v>
      </c>
      <c r="H26" s="29" t="s">
        <v>6</v>
      </c>
      <c r="I26" s="27" t="s">
        <v>7</v>
      </c>
      <c r="J26" s="27" t="s">
        <v>8</v>
      </c>
      <c r="K26" s="27" t="s">
        <v>8</v>
      </c>
      <c r="L26" s="27" t="s">
        <v>7</v>
      </c>
    </row>
    <row r="27" spans="1:71" ht="63" x14ac:dyDescent="0.2">
      <c r="A27" s="26">
        <v>85</v>
      </c>
      <c r="B27" s="27" t="s">
        <v>2</v>
      </c>
      <c r="C27" s="27" t="s">
        <v>33</v>
      </c>
      <c r="D27" s="27" t="s">
        <v>11</v>
      </c>
      <c r="E27" s="28">
        <v>100000</v>
      </c>
      <c r="F27" s="27" t="s">
        <v>11</v>
      </c>
      <c r="G27" s="28">
        <v>271434.02</v>
      </c>
      <c r="H27" s="29" t="s">
        <v>6</v>
      </c>
      <c r="I27" s="27" t="s">
        <v>7</v>
      </c>
      <c r="J27" s="27" t="s">
        <v>7</v>
      </c>
      <c r="K27" s="27" t="s">
        <v>8</v>
      </c>
      <c r="L27" s="27" t="s">
        <v>7</v>
      </c>
    </row>
    <row r="28" spans="1:71" ht="63" x14ac:dyDescent="0.2">
      <c r="A28" s="26">
        <v>86</v>
      </c>
      <c r="B28" s="27" t="s">
        <v>2</v>
      </c>
      <c r="C28" s="27" t="s">
        <v>34</v>
      </c>
      <c r="D28" s="27" t="s">
        <v>5</v>
      </c>
      <c r="E28" s="28">
        <v>1500000</v>
      </c>
      <c r="F28" s="27" t="s">
        <v>5</v>
      </c>
      <c r="G28" s="28">
        <v>4500000</v>
      </c>
      <c r="H28" s="29" t="s">
        <v>6</v>
      </c>
      <c r="I28" s="27" t="s">
        <v>7</v>
      </c>
      <c r="J28" s="27" t="s">
        <v>8</v>
      </c>
      <c r="K28" s="27" t="s">
        <v>8</v>
      </c>
      <c r="L28" s="27" t="s">
        <v>7</v>
      </c>
    </row>
    <row r="29" spans="1:71" ht="63" x14ac:dyDescent="0.2">
      <c r="A29" s="26">
        <v>88</v>
      </c>
      <c r="B29" s="27" t="s">
        <v>2</v>
      </c>
      <c r="C29" s="27" t="s">
        <v>35</v>
      </c>
      <c r="D29" s="27" t="s">
        <v>11</v>
      </c>
      <c r="E29" s="28">
        <v>100000</v>
      </c>
      <c r="F29" s="27" t="s">
        <v>11</v>
      </c>
      <c r="G29" s="28">
        <v>200000</v>
      </c>
      <c r="H29" s="29" t="s">
        <v>6</v>
      </c>
      <c r="I29" s="27" t="s">
        <v>7</v>
      </c>
      <c r="J29" s="27" t="s">
        <v>8</v>
      </c>
      <c r="K29" s="27" t="s">
        <v>8</v>
      </c>
      <c r="L29" s="27" t="s">
        <v>7</v>
      </c>
    </row>
    <row r="30" spans="1:71" ht="63" x14ac:dyDescent="0.2">
      <c r="A30" s="26">
        <v>101</v>
      </c>
      <c r="B30" s="27" t="s">
        <v>2</v>
      </c>
      <c r="C30" s="27" t="s">
        <v>36</v>
      </c>
      <c r="D30" s="27" t="s">
        <v>4</v>
      </c>
      <c r="E30" s="28">
        <v>500000</v>
      </c>
      <c r="F30" s="27" t="s">
        <v>4</v>
      </c>
      <c r="G30" s="28">
        <v>2500000</v>
      </c>
      <c r="H30" s="29" t="s">
        <v>6</v>
      </c>
      <c r="I30" s="27" t="s">
        <v>7</v>
      </c>
      <c r="J30" s="27" t="s">
        <v>8</v>
      </c>
      <c r="K30" s="27" t="s">
        <v>8</v>
      </c>
      <c r="L30" s="27" t="s">
        <v>7</v>
      </c>
    </row>
    <row r="31" spans="1:71" ht="63" x14ac:dyDescent="0.2">
      <c r="A31" s="26">
        <v>102</v>
      </c>
      <c r="B31" s="27" t="s">
        <v>2</v>
      </c>
      <c r="C31" s="27" t="s">
        <v>37</v>
      </c>
      <c r="D31" s="27" t="s">
        <v>4</v>
      </c>
      <c r="E31" s="28">
        <v>800000</v>
      </c>
      <c r="F31" s="27" t="s">
        <v>11</v>
      </c>
      <c r="G31" s="28">
        <v>438113.4</v>
      </c>
      <c r="H31" s="29" t="s">
        <v>6</v>
      </c>
      <c r="I31" s="27" t="s">
        <v>7</v>
      </c>
      <c r="J31" s="27" t="s">
        <v>8</v>
      </c>
      <c r="K31" s="27" t="s">
        <v>8</v>
      </c>
      <c r="L31" s="27" t="s">
        <v>7</v>
      </c>
      <c r="N31">
        <f>717.9+1673.9+2333.33</f>
        <v>4725.13</v>
      </c>
      <c r="P31">
        <v>439.8</v>
      </c>
      <c r="U31">
        <v>1</v>
      </c>
      <c r="V31">
        <v>1</v>
      </c>
      <c r="W31">
        <v>1</v>
      </c>
      <c r="X31">
        <v>1</v>
      </c>
      <c r="Z31">
        <v>1</v>
      </c>
      <c r="AH31">
        <v>1</v>
      </c>
      <c r="AP31">
        <v>1</v>
      </c>
      <c r="AU31">
        <v>1</v>
      </c>
      <c r="AV31">
        <v>1</v>
      </c>
      <c r="BC31">
        <v>1</v>
      </c>
      <c r="BH31">
        <v>1</v>
      </c>
      <c r="BP31">
        <v>1</v>
      </c>
      <c r="BR31">
        <v>1</v>
      </c>
    </row>
    <row r="32" spans="1:71" ht="63" x14ac:dyDescent="0.2">
      <c r="A32" s="26">
        <v>103</v>
      </c>
      <c r="B32" s="27" t="s">
        <v>2</v>
      </c>
      <c r="C32" s="27" t="s">
        <v>38</v>
      </c>
      <c r="D32" s="27" t="s">
        <v>4</v>
      </c>
      <c r="E32" s="28">
        <v>500000</v>
      </c>
      <c r="F32" s="27" t="s">
        <v>4</v>
      </c>
      <c r="G32" s="28">
        <v>2500000</v>
      </c>
      <c r="H32" s="29" t="s">
        <v>6</v>
      </c>
      <c r="I32" s="27" t="s">
        <v>7</v>
      </c>
      <c r="J32" s="27" t="s">
        <v>7</v>
      </c>
      <c r="K32" s="27" t="s">
        <v>7</v>
      </c>
      <c r="L32" s="27" t="s">
        <v>7</v>
      </c>
    </row>
    <row r="33" spans="1:72" ht="63" x14ac:dyDescent="0.2">
      <c r="A33" s="26">
        <v>104</v>
      </c>
      <c r="B33" s="27" t="s">
        <v>2</v>
      </c>
      <c r="C33" s="27" t="s">
        <v>39</v>
      </c>
      <c r="D33" s="27" t="s">
        <v>4</v>
      </c>
      <c r="E33" s="28">
        <v>500000</v>
      </c>
      <c r="F33" s="27" t="s">
        <v>11</v>
      </c>
      <c r="G33" s="28">
        <v>738113.4</v>
      </c>
      <c r="H33" s="29" t="s">
        <v>6</v>
      </c>
      <c r="I33" s="27" t="s">
        <v>7</v>
      </c>
      <c r="J33" s="27" t="s">
        <v>7</v>
      </c>
      <c r="K33" s="27" t="s">
        <v>7</v>
      </c>
      <c r="L33" s="27" t="s">
        <v>7</v>
      </c>
    </row>
    <row r="34" spans="1:72" ht="63" x14ac:dyDescent="0.2">
      <c r="A34" s="26">
        <v>106</v>
      </c>
      <c r="B34" s="27" t="s">
        <v>2</v>
      </c>
      <c r="C34" s="27" t="s">
        <v>40</v>
      </c>
      <c r="D34" s="27" t="s">
        <v>11</v>
      </c>
      <c r="E34" s="28">
        <v>100000</v>
      </c>
      <c r="F34" s="27" t="s">
        <v>11</v>
      </c>
      <c r="G34" s="28">
        <v>271434.02</v>
      </c>
      <c r="H34" s="29" t="s">
        <v>6</v>
      </c>
      <c r="I34" s="27" t="s">
        <v>7</v>
      </c>
      <c r="J34" s="27" t="s">
        <v>8</v>
      </c>
      <c r="K34" s="27" t="s">
        <v>8</v>
      </c>
      <c r="L34" s="27" t="s">
        <v>7</v>
      </c>
    </row>
    <row r="35" spans="1:72" ht="63" x14ac:dyDescent="0.2">
      <c r="A35" s="26">
        <v>113</v>
      </c>
      <c r="B35" s="27" t="s">
        <v>2</v>
      </c>
      <c r="C35" s="27" t="s">
        <v>41</v>
      </c>
      <c r="D35" s="27" t="s">
        <v>4</v>
      </c>
      <c r="E35" s="28">
        <v>500000</v>
      </c>
      <c r="F35" s="27" t="s">
        <v>4</v>
      </c>
      <c r="G35" s="28">
        <v>2500000</v>
      </c>
      <c r="H35" s="29" t="s">
        <v>6</v>
      </c>
      <c r="I35" s="27" t="s">
        <v>7</v>
      </c>
      <c r="J35" s="27" t="s">
        <v>8</v>
      </c>
      <c r="K35" s="27" t="s">
        <v>8</v>
      </c>
      <c r="L35" s="27" t="s">
        <v>7</v>
      </c>
      <c r="N35">
        <f>1776+748.4+600+1263.9</f>
        <v>4388.3</v>
      </c>
      <c r="O35">
        <f>25883.33+139800</f>
        <v>165683.33000000002</v>
      </c>
      <c r="AB35">
        <v>1</v>
      </c>
      <c r="AC35">
        <v>1</v>
      </c>
      <c r="AY35">
        <v>1</v>
      </c>
    </row>
    <row r="36" spans="1:72" ht="63" x14ac:dyDescent="0.2">
      <c r="A36" s="26">
        <v>132</v>
      </c>
      <c r="B36" s="27" t="s">
        <v>2</v>
      </c>
      <c r="C36" s="27" t="s">
        <v>42</v>
      </c>
      <c r="D36" s="27" t="s">
        <v>11</v>
      </c>
      <c r="E36" s="28">
        <v>100000</v>
      </c>
      <c r="F36" s="27" t="s">
        <v>11</v>
      </c>
      <c r="G36" s="28">
        <v>271434.02</v>
      </c>
      <c r="H36" s="29" t="s">
        <v>6</v>
      </c>
      <c r="I36" s="27" t="s">
        <v>7</v>
      </c>
      <c r="J36" s="27" t="s">
        <v>8</v>
      </c>
      <c r="K36" s="27" t="s">
        <v>8</v>
      </c>
      <c r="L36" s="27" t="s">
        <v>7</v>
      </c>
    </row>
    <row r="37" spans="1:72" ht="63" x14ac:dyDescent="0.2">
      <c r="A37" s="26">
        <v>134</v>
      </c>
      <c r="B37" s="27" t="s">
        <v>2</v>
      </c>
      <c r="C37" s="27" t="s">
        <v>43</v>
      </c>
      <c r="D37" s="27" t="s">
        <v>11</v>
      </c>
      <c r="E37" s="28">
        <v>100000</v>
      </c>
      <c r="F37" s="27" t="s">
        <v>11</v>
      </c>
      <c r="G37" s="28">
        <v>271434.02</v>
      </c>
      <c r="H37" s="29" t="s">
        <v>6</v>
      </c>
      <c r="I37" s="27" t="s">
        <v>7</v>
      </c>
      <c r="J37" s="27" t="s">
        <v>8</v>
      </c>
      <c r="K37" s="27" t="s">
        <v>8</v>
      </c>
      <c r="L37" s="27" t="s">
        <v>7</v>
      </c>
    </row>
    <row r="38" spans="1:72" ht="63" x14ac:dyDescent="0.2">
      <c r="A38" s="26">
        <v>137</v>
      </c>
      <c r="B38" s="27" t="s">
        <v>2</v>
      </c>
      <c r="C38" s="27" t="s">
        <v>44</v>
      </c>
      <c r="D38" s="27" t="s">
        <v>11</v>
      </c>
      <c r="E38" s="28">
        <v>100000</v>
      </c>
      <c r="F38" s="27" t="s">
        <v>11</v>
      </c>
      <c r="G38" s="28">
        <v>271434.02</v>
      </c>
      <c r="H38" s="29" t="s">
        <v>6</v>
      </c>
      <c r="I38" s="27" t="s">
        <v>7</v>
      </c>
      <c r="J38" s="27" t="s">
        <v>8</v>
      </c>
      <c r="K38" s="27" t="s">
        <v>8</v>
      </c>
      <c r="L38" s="27" t="s">
        <v>7</v>
      </c>
    </row>
    <row r="39" spans="1:72" ht="63" x14ac:dyDescent="0.2">
      <c r="A39" s="26">
        <v>142</v>
      </c>
      <c r="B39" s="27" t="s">
        <v>2</v>
      </c>
      <c r="C39" s="27" t="s">
        <v>45</v>
      </c>
      <c r="D39" s="27" t="s">
        <v>11</v>
      </c>
      <c r="E39" s="28">
        <v>100000</v>
      </c>
      <c r="F39" s="27" t="s">
        <v>11</v>
      </c>
      <c r="G39" s="28">
        <v>271434.02</v>
      </c>
      <c r="H39" s="29" t="s">
        <v>6</v>
      </c>
      <c r="I39" s="27" t="s">
        <v>7</v>
      </c>
      <c r="J39" s="27" t="s">
        <v>8</v>
      </c>
      <c r="K39" s="27" t="s">
        <v>8</v>
      </c>
      <c r="L39" s="27" t="s">
        <v>7</v>
      </c>
    </row>
    <row r="40" spans="1:72" ht="63" x14ac:dyDescent="0.2">
      <c r="A40" s="26">
        <v>149</v>
      </c>
      <c r="B40" s="27" t="s">
        <v>2</v>
      </c>
      <c r="C40" s="27" t="s">
        <v>46</v>
      </c>
      <c r="D40" s="27" t="s">
        <v>11</v>
      </c>
      <c r="E40" s="28">
        <v>100000</v>
      </c>
      <c r="F40" s="27" t="s">
        <v>11</v>
      </c>
      <c r="G40" s="28">
        <v>271434.02</v>
      </c>
      <c r="H40" s="29" t="s">
        <v>6</v>
      </c>
      <c r="I40" s="27" t="s">
        <v>7</v>
      </c>
      <c r="J40" s="27" t="s">
        <v>7</v>
      </c>
      <c r="K40" s="27" t="s">
        <v>8</v>
      </c>
      <c r="L40" s="27" t="s">
        <v>7</v>
      </c>
    </row>
    <row r="41" spans="1:72" ht="63" x14ac:dyDescent="0.2">
      <c r="A41" s="26">
        <v>150</v>
      </c>
      <c r="B41" s="27" t="s">
        <v>2</v>
      </c>
      <c r="C41" s="27" t="s">
        <v>47</v>
      </c>
      <c r="D41" s="27" t="s">
        <v>4</v>
      </c>
      <c r="E41" s="28">
        <v>800000</v>
      </c>
      <c r="F41" s="27" t="s">
        <v>11</v>
      </c>
      <c r="G41" s="28">
        <v>438113.4</v>
      </c>
      <c r="H41" s="29" t="s">
        <v>6</v>
      </c>
      <c r="I41" s="27" t="s">
        <v>7</v>
      </c>
      <c r="J41" s="27" t="s">
        <v>7</v>
      </c>
      <c r="K41" s="27" t="s">
        <v>8</v>
      </c>
      <c r="L41" s="27" t="s">
        <v>7</v>
      </c>
      <c r="N41">
        <f>8763.296+554.155+2565.872</f>
        <v>11883.323</v>
      </c>
      <c r="U41">
        <v>1</v>
      </c>
      <c r="V41">
        <v>1</v>
      </c>
      <c r="W41">
        <v>1</v>
      </c>
      <c r="Z41">
        <v>1</v>
      </c>
      <c r="AA41">
        <v>1</v>
      </c>
      <c r="AB41">
        <v>1</v>
      </c>
      <c r="AC41">
        <v>1</v>
      </c>
      <c r="AD41">
        <v>1</v>
      </c>
      <c r="AE41">
        <v>1</v>
      </c>
      <c r="AF41">
        <v>1</v>
      </c>
      <c r="AG41">
        <v>1</v>
      </c>
      <c r="AH41">
        <v>1</v>
      </c>
      <c r="AI41">
        <v>1</v>
      </c>
      <c r="BB41">
        <v>1</v>
      </c>
      <c r="BE41">
        <v>1</v>
      </c>
      <c r="BJ41">
        <v>1</v>
      </c>
      <c r="BP41">
        <v>1</v>
      </c>
      <c r="BR41">
        <v>1</v>
      </c>
    </row>
    <row r="42" spans="1:72" ht="63" x14ac:dyDescent="0.2">
      <c r="A42" s="26">
        <v>156</v>
      </c>
      <c r="B42" s="27" t="s">
        <v>2</v>
      </c>
      <c r="C42" s="27" t="s">
        <v>48</v>
      </c>
      <c r="D42" s="27" t="s">
        <v>11</v>
      </c>
      <c r="E42" s="28">
        <v>100000</v>
      </c>
      <c r="F42" s="27" t="s">
        <v>11</v>
      </c>
      <c r="G42" s="28">
        <v>271434.02</v>
      </c>
      <c r="H42" s="29" t="s">
        <v>6</v>
      </c>
      <c r="I42" s="27" t="s">
        <v>7</v>
      </c>
      <c r="J42" s="27" t="s">
        <v>8</v>
      </c>
      <c r="K42" s="27" t="s">
        <v>8</v>
      </c>
      <c r="L42" s="27" t="s">
        <v>7</v>
      </c>
    </row>
    <row r="43" spans="1:72" ht="63" x14ac:dyDescent="0.2">
      <c r="A43" s="26">
        <v>159</v>
      </c>
      <c r="B43" s="27" t="s">
        <v>2</v>
      </c>
      <c r="C43" s="27" t="s">
        <v>49</v>
      </c>
      <c r="D43" s="27" t="s">
        <v>11</v>
      </c>
      <c r="E43" s="28">
        <v>100000</v>
      </c>
      <c r="F43" s="27" t="s">
        <v>11</v>
      </c>
      <c r="G43" s="28">
        <v>271434.02</v>
      </c>
      <c r="H43" s="29" t="s">
        <v>6</v>
      </c>
      <c r="I43" s="27" t="s">
        <v>7</v>
      </c>
      <c r="J43" s="27" t="s">
        <v>8</v>
      </c>
      <c r="K43" s="27" t="s">
        <v>8</v>
      </c>
      <c r="L43" s="27" t="s">
        <v>7</v>
      </c>
    </row>
    <row r="44" spans="1:72" ht="63" x14ac:dyDescent="0.2">
      <c r="A44" s="26">
        <v>162</v>
      </c>
      <c r="B44" s="27" t="s">
        <v>2</v>
      </c>
      <c r="C44" s="27" t="s">
        <v>50</v>
      </c>
      <c r="D44" s="27" t="s">
        <v>4</v>
      </c>
      <c r="E44" s="28">
        <v>500000</v>
      </c>
      <c r="F44" s="27" t="s">
        <v>11</v>
      </c>
      <c r="G44" s="28">
        <v>271434.02</v>
      </c>
      <c r="H44" s="29" t="s">
        <v>6</v>
      </c>
      <c r="I44" s="27" t="s">
        <v>7</v>
      </c>
      <c r="J44" s="27" t="s">
        <v>7</v>
      </c>
      <c r="K44" s="27" t="s">
        <v>8</v>
      </c>
      <c r="L44" s="27" t="s">
        <v>7</v>
      </c>
      <c r="N44">
        <f>14079.0732+112010.961</f>
        <v>126090.03419999999</v>
      </c>
      <c r="P44">
        <f>360</f>
        <v>360</v>
      </c>
      <c r="BH44">
        <v>1</v>
      </c>
      <c r="BJ44">
        <v>1</v>
      </c>
      <c r="BK44">
        <v>1</v>
      </c>
      <c r="BT44">
        <v>1</v>
      </c>
    </row>
    <row r="45" spans="1:72" ht="63" x14ac:dyDescent="0.2">
      <c r="A45" s="26">
        <v>163</v>
      </c>
      <c r="B45" s="27" t="s">
        <v>2</v>
      </c>
      <c r="C45" s="27" t="s">
        <v>51</v>
      </c>
      <c r="D45" s="27" t="s">
        <v>11</v>
      </c>
      <c r="E45" s="28">
        <v>300000</v>
      </c>
      <c r="F45" s="27" t="s">
        <v>11</v>
      </c>
      <c r="G45" s="28">
        <v>319056.7</v>
      </c>
      <c r="H45" s="29" t="s">
        <v>6</v>
      </c>
      <c r="I45" s="27" t="s">
        <v>7</v>
      </c>
      <c r="J45" s="27" t="s">
        <v>7</v>
      </c>
      <c r="K45" s="27" t="s">
        <v>8</v>
      </c>
      <c r="L45" s="27" t="s">
        <v>7</v>
      </c>
    </row>
    <row r="46" spans="1:72" ht="63" x14ac:dyDescent="0.2">
      <c r="A46" s="26">
        <v>168</v>
      </c>
      <c r="B46" s="27" t="s">
        <v>2</v>
      </c>
      <c r="C46" s="27" t="s">
        <v>52</v>
      </c>
      <c r="D46" s="27" t="s">
        <v>11</v>
      </c>
      <c r="E46" s="28">
        <v>100000</v>
      </c>
      <c r="F46" s="27" t="s">
        <v>11</v>
      </c>
      <c r="G46" s="28">
        <v>271434.02</v>
      </c>
      <c r="H46" s="29" t="s">
        <v>6</v>
      </c>
      <c r="I46" s="27" t="s">
        <v>7</v>
      </c>
      <c r="J46" s="27" t="s">
        <v>8</v>
      </c>
      <c r="K46" s="27" t="s">
        <v>8</v>
      </c>
      <c r="L46" s="27" t="s">
        <v>7</v>
      </c>
    </row>
    <row r="47" spans="1:72" ht="63" x14ac:dyDescent="0.2">
      <c r="A47" s="26">
        <v>173</v>
      </c>
      <c r="B47" s="27" t="s">
        <v>2</v>
      </c>
      <c r="C47" s="27" t="s">
        <v>53</v>
      </c>
      <c r="D47" s="27" t="s">
        <v>11</v>
      </c>
      <c r="E47" s="28">
        <v>100000</v>
      </c>
      <c r="F47" s="27" t="s">
        <v>11</v>
      </c>
      <c r="G47" s="28">
        <v>271434.02</v>
      </c>
      <c r="H47" s="29" t="s">
        <v>6</v>
      </c>
      <c r="I47" s="27" t="s">
        <v>7</v>
      </c>
      <c r="J47" s="27" t="s">
        <v>7</v>
      </c>
      <c r="K47" s="27" t="s">
        <v>8</v>
      </c>
      <c r="L47" s="27" t="s">
        <v>7</v>
      </c>
    </row>
    <row r="48" spans="1:72" ht="63" x14ac:dyDescent="0.2">
      <c r="A48" s="26">
        <v>180</v>
      </c>
      <c r="B48" s="27" t="s">
        <v>2</v>
      </c>
      <c r="C48" s="27" t="s">
        <v>54</v>
      </c>
      <c r="D48" s="27" t="s">
        <v>4</v>
      </c>
      <c r="E48" s="28">
        <v>500000</v>
      </c>
      <c r="F48" s="27" t="s">
        <v>4</v>
      </c>
      <c r="G48" s="28">
        <v>2500000</v>
      </c>
      <c r="H48" s="29" t="s">
        <v>6</v>
      </c>
      <c r="I48" s="27" t="s">
        <v>7</v>
      </c>
      <c r="J48" s="27" t="s">
        <v>7</v>
      </c>
      <c r="K48" s="27" t="s">
        <v>8</v>
      </c>
      <c r="L48" s="27" t="s">
        <v>7</v>
      </c>
    </row>
    <row r="49" spans="1:72" ht="63" x14ac:dyDescent="0.2">
      <c r="A49" s="26">
        <v>188</v>
      </c>
      <c r="B49" s="27" t="s">
        <v>2</v>
      </c>
      <c r="C49" s="27" t="s">
        <v>55</v>
      </c>
      <c r="D49" s="27" t="s">
        <v>11</v>
      </c>
      <c r="E49" s="28">
        <v>300000</v>
      </c>
      <c r="F49" s="27"/>
      <c r="G49" s="27"/>
      <c r="H49" s="29" t="s">
        <v>6</v>
      </c>
      <c r="I49" s="27" t="s">
        <v>7</v>
      </c>
      <c r="J49" s="27" t="s">
        <v>8</v>
      </c>
      <c r="K49" s="27" t="s">
        <v>8</v>
      </c>
      <c r="L49" s="27" t="s">
        <v>8</v>
      </c>
    </row>
    <row r="50" spans="1:72" ht="63" x14ac:dyDescent="0.2">
      <c r="A50" s="26">
        <v>189</v>
      </c>
      <c r="B50" s="27" t="s">
        <v>2</v>
      </c>
      <c r="C50" s="27" t="s">
        <v>56</v>
      </c>
      <c r="D50" s="27" t="s">
        <v>4</v>
      </c>
      <c r="E50" s="28">
        <v>500000</v>
      </c>
      <c r="F50" s="27" t="s">
        <v>4</v>
      </c>
      <c r="G50" s="28">
        <v>2500000</v>
      </c>
      <c r="H50" s="29" t="s">
        <v>6</v>
      </c>
      <c r="I50" s="27" t="s">
        <v>7</v>
      </c>
      <c r="J50" s="27" t="s">
        <v>7</v>
      </c>
      <c r="K50" s="27" t="s">
        <v>8</v>
      </c>
      <c r="L50" s="27" t="s">
        <v>7</v>
      </c>
    </row>
    <row r="51" spans="1:72" ht="63" x14ac:dyDescent="0.2">
      <c r="A51" s="26">
        <v>190</v>
      </c>
      <c r="B51" s="27" t="s">
        <v>2</v>
      </c>
      <c r="C51" s="27" t="s">
        <v>57</v>
      </c>
      <c r="D51" s="27" t="s">
        <v>11</v>
      </c>
      <c r="E51" s="28">
        <v>300000</v>
      </c>
      <c r="F51" s="27"/>
      <c r="G51" s="27"/>
      <c r="H51" s="29" t="s">
        <v>6</v>
      </c>
      <c r="I51" s="27" t="s">
        <v>7</v>
      </c>
      <c r="J51" s="27" t="s">
        <v>8</v>
      </c>
      <c r="K51" s="27" t="s">
        <v>8</v>
      </c>
      <c r="L51" s="27" t="s">
        <v>8</v>
      </c>
      <c r="N51">
        <f>100302</f>
        <v>100302</v>
      </c>
      <c r="Y51">
        <v>1</v>
      </c>
      <c r="Z51">
        <v>1</v>
      </c>
      <c r="AA51">
        <v>1</v>
      </c>
      <c r="BE51">
        <v>1</v>
      </c>
      <c r="BL51">
        <v>1</v>
      </c>
    </row>
    <row r="52" spans="1:72" ht="63" x14ac:dyDescent="0.2">
      <c r="A52" s="26">
        <v>193</v>
      </c>
      <c r="B52" s="27" t="s">
        <v>2</v>
      </c>
      <c r="C52" s="27" t="s">
        <v>58</v>
      </c>
      <c r="D52" s="27" t="s">
        <v>4</v>
      </c>
      <c r="E52" s="28">
        <v>500000</v>
      </c>
      <c r="F52" s="27" t="s">
        <v>4</v>
      </c>
      <c r="G52" s="28">
        <v>2500000</v>
      </c>
      <c r="H52" s="29" t="s">
        <v>6</v>
      </c>
      <c r="I52" s="27" t="s">
        <v>7</v>
      </c>
      <c r="J52" s="27" t="s">
        <v>7</v>
      </c>
      <c r="K52" s="27" t="s">
        <v>8</v>
      </c>
      <c r="L52" s="27" t="s">
        <v>7</v>
      </c>
    </row>
    <row r="53" spans="1:72" ht="63" x14ac:dyDescent="0.2">
      <c r="A53" s="26">
        <v>195</v>
      </c>
      <c r="B53" s="27" t="s">
        <v>2</v>
      </c>
      <c r="C53" s="27" t="s">
        <v>59</v>
      </c>
      <c r="D53" s="27" t="s">
        <v>11</v>
      </c>
      <c r="E53" s="28">
        <v>100000</v>
      </c>
      <c r="F53" s="27" t="s">
        <v>11</v>
      </c>
      <c r="G53" s="28">
        <v>271434.02</v>
      </c>
      <c r="H53" s="29" t="s">
        <v>6</v>
      </c>
      <c r="I53" s="27" t="s">
        <v>7</v>
      </c>
      <c r="J53" s="27" t="s">
        <v>7</v>
      </c>
      <c r="K53" s="27" t="s">
        <v>8</v>
      </c>
      <c r="L53" s="27" t="s">
        <v>7</v>
      </c>
    </row>
    <row r="54" spans="1:72" ht="63" x14ac:dyDescent="0.2">
      <c r="A54" s="26">
        <v>201</v>
      </c>
      <c r="B54" s="27" t="s">
        <v>2</v>
      </c>
      <c r="C54" s="27" t="s">
        <v>60</v>
      </c>
      <c r="D54" s="27" t="s">
        <v>11</v>
      </c>
      <c r="E54" s="28">
        <v>300000</v>
      </c>
      <c r="F54" s="27" t="s">
        <v>11</v>
      </c>
      <c r="G54" s="28">
        <v>319056.7</v>
      </c>
      <c r="H54" s="29" t="s">
        <v>6</v>
      </c>
      <c r="I54" s="27" t="s">
        <v>7</v>
      </c>
      <c r="J54" s="27" t="s">
        <v>7</v>
      </c>
      <c r="K54" s="27" t="s">
        <v>8</v>
      </c>
      <c r="L54" s="27" t="s">
        <v>7</v>
      </c>
      <c r="P54">
        <f>9497.84+859.32+8999.65+15982.44</f>
        <v>35339.25</v>
      </c>
      <c r="U54">
        <v>1</v>
      </c>
      <c r="AF54">
        <v>1</v>
      </c>
      <c r="AH54">
        <v>1</v>
      </c>
      <c r="AK54">
        <v>1</v>
      </c>
      <c r="BE54">
        <v>1</v>
      </c>
      <c r="BJ54">
        <v>1</v>
      </c>
      <c r="BN54">
        <v>1</v>
      </c>
    </row>
    <row r="55" spans="1:72" ht="63" x14ac:dyDescent="0.2">
      <c r="A55" s="26">
        <v>204</v>
      </c>
      <c r="B55" s="27" t="s">
        <v>2</v>
      </c>
      <c r="C55" s="27" t="s">
        <v>61</v>
      </c>
      <c r="D55" s="27" t="s">
        <v>11</v>
      </c>
      <c r="E55" s="28">
        <v>300000</v>
      </c>
      <c r="F55" s="27" t="s">
        <v>11</v>
      </c>
      <c r="G55" s="28">
        <v>200000</v>
      </c>
      <c r="H55" s="29" t="s">
        <v>6</v>
      </c>
      <c r="I55" s="27" t="s">
        <v>7</v>
      </c>
      <c r="J55" s="27" t="s">
        <v>8</v>
      </c>
      <c r="K55" s="27" t="s">
        <v>8</v>
      </c>
      <c r="L55" s="27" t="s">
        <v>7</v>
      </c>
      <c r="N55">
        <v>7974</v>
      </c>
      <c r="P55">
        <f>10383+14419+12040+3143</f>
        <v>39985</v>
      </c>
      <c r="U55">
        <v>1</v>
      </c>
      <c r="V55">
        <v>1</v>
      </c>
      <c r="Z55">
        <v>1</v>
      </c>
      <c r="AA55">
        <v>1</v>
      </c>
      <c r="AB55">
        <v>1</v>
      </c>
      <c r="AC55">
        <v>1</v>
      </c>
      <c r="AD55">
        <v>1</v>
      </c>
      <c r="AE55">
        <v>1</v>
      </c>
      <c r="AG55">
        <v>1</v>
      </c>
      <c r="AH55">
        <v>1</v>
      </c>
      <c r="AI55">
        <v>1</v>
      </c>
      <c r="AK55">
        <v>1</v>
      </c>
      <c r="AM55">
        <v>1</v>
      </c>
      <c r="AP55">
        <v>1</v>
      </c>
      <c r="AR55">
        <v>1</v>
      </c>
      <c r="AU55">
        <v>1</v>
      </c>
      <c r="BB55">
        <v>1</v>
      </c>
      <c r="BE55">
        <v>1</v>
      </c>
      <c r="BG55">
        <v>1</v>
      </c>
      <c r="BH55">
        <v>1</v>
      </c>
      <c r="BJ55">
        <v>1</v>
      </c>
      <c r="BL55">
        <v>1</v>
      </c>
      <c r="BM55">
        <v>1</v>
      </c>
      <c r="BN55">
        <v>1</v>
      </c>
      <c r="BR55">
        <v>1</v>
      </c>
      <c r="BS55">
        <v>1</v>
      </c>
    </row>
    <row r="56" spans="1:72" ht="63" x14ac:dyDescent="0.2">
      <c r="A56" s="26">
        <v>206</v>
      </c>
      <c r="B56" s="27" t="s">
        <v>2</v>
      </c>
      <c r="C56" s="27" t="s">
        <v>62</v>
      </c>
      <c r="D56" s="27" t="s">
        <v>11</v>
      </c>
      <c r="E56" s="28">
        <v>100000</v>
      </c>
      <c r="F56" s="27" t="s">
        <v>11</v>
      </c>
      <c r="G56" s="28">
        <v>271434.02</v>
      </c>
      <c r="H56" s="30" t="s">
        <v>14</v>
      </c>
      <c r="I56" s="27" t="s">
        <v>7</v>
      </c>
      <c r="J56" s="27" t="s">
        <v>8</v>
      </c>
      <c r="K56" s="27" t="s">
        <v>8</v>
      </c>
      <c r="L56" s="27" t="s">
        <v>7</v>
      </c>
      <c r="P56">
        <v>1580.76235</v>
      </c>
      <c r="BE56">
        <v>1</v>
      </c>
      <c r="BG56">
        <v>1</v>
      </c>
      <c r="BJ56">
        <v>1</v>
      </c>
      <c r="BR56">
        <v>1</v>
      </c>
    </row>
    <row r="57" spans="1:72" ht="63" x14ac:dyDescent="0.2">
      <c r="A57" s="26">
        <v>210</v>
      </c>
      <c r="B57" s="27" t="s">
        <v>2</v>
      </c>
      <c r="C57" s="27" t="s">
        <v>63</v>
      </c>
      <c r="D57" s="27" t="s">
        <v>11</v>
      </c>
      <c r="E57" s="28">
        <v>100000</v>
      </c>
      <c r="F57" s="27" t="s">
        <v>11</v>
      </c>
      <c r="G57" s="28">
        <v>271434.02</v>
      </c>
      <c r="H57" s="29" t="s">
        <v>6</v>
      </c>
      <c r="I57" s="27" t="s">
        <v>7</v>
      </c>
      <c r="J57" s="27" t="s">
        <v>7</v>
      </c>
      <c r="K57" s="27" t="s">
        <v>8</v>
      </c>
      <c r="L57" s="27" t="s">
        <v>7</v>
      </c>
      <c r="BH57">
        <v>1</v>
      </c>
      <c r="BR57">
        <v>1</v>
      </c>
    </row>
    <row r="58" spans="1:72" ht="63" x14ac:dyDescent="0.2">
      <c r="A58" s="26">
        <v>214</v>
      </c>
      <c r="B58" s="27" t="s">
        <v>64</v>
      </c>
      <c r="C58" s="27" t="s">
        <v>65</v>
      </c>
      <c r="D58" s="27" t="s">
        <v>11</v>
      </c>
      <c r="E58" s="28">
        <v>300000</v>
      </c>
      <c r="F58" s="27"/>
      <c r="G58" s="27"/>
      <c r="H58" s="30" t="s">
        <v>14</v>
      </c>
      <c r="I58" s="27" t="s">
        <v>7</v>
      </c>
      <c r="J58" s="27" t="s">
        <v>8</v>
      </c>
      <c r="K58" s="27" t="s">
        <v>8</v>
      </c>
      <c r="L58" s="27" t="s">
        <v>8</v>
      </c>
    </row>
    <row r="59" spans="1:72" ht="63" x14ac:dyDescent="0.2">
      <c r="A59" s="26">
        <v>222</v>
      </c>
      <c r="B59" s="27" t="s">
        <v>66</v>
      </c>
      <c r="C59" s="27" t="s">
        <v>67</v>
      </c>
      <c r="D59" s="27" t="s">
        <v>11</v>
      </c>
      <c r="E59" s="28">
        <v>300000</v>
      </c>
      <c r="F59" s="27"/>
      <c r="G59" s="27"/>
      <c r="H59" s="29" t="s">
        <v>6</v>
      </c>
      <c r="I59" s="27" t="s">
        <v>7</v>
      </c>
      <c r="J59" s="27" t="s">
        <v>8</v>
      </c>
      <c r="K59" s="27" t="s">
        <v>8</v>
      </c>
      <c r="L59" s="27" t="s">
        <v>8</v>
      </c>
      <c r="P59">
        <f>903.122</f>
        <v>903.12199999999996</v>
      </c>
      <c r="AD59">
        <v>1</v>
      </c>
      <c r="BF59">
        <v>1</v>
      </c>
      <c r="BM59">
        <v>1</v>
      </c>
      <c r="BT59">
        <v>1</v>
      </c>
    </row>
    <row r="60" spans="1:72" ht="63" x14ac:dyDescent="0.2">
      <c r="A60" s="26">
        <v>224</v>
      </c>
      <c r="B60" s="27" t="s">
        <v>2</v>
      </c>
      <c r="C60" s="27" t="s">
        <v>68</v>
      </c>
      <c r="D60" s="27" t="s">
        <v>11</v>
      </c>
      <c r="E60" s="28">
        <v>100000</v>
      </c>
      <c r="F60" s="27" t="s">
        <v>11</v>
      </c>
      <c r="G60" s="28">
        <v>271434.02</v>
      </c>
      <c r="H60" s="29" t="s">
        <v>6</v>
      </c>
      <c r="I60" s="27" t="s">
        <v>7</v>
      </c>
      <c r="J60" s="27" t="s">
        <v>8</v>
      </c>
      <c r="K60" s="27" t="s">
        <v>8</v>
      </c>
      <c r="L60" s="27" t="s">
        <v>7</v>
      </c>
      <c r="N60">
        <f>36218</f>
        <v>36218</v>
      </c>
      <c r="P60">
        <f>11623+5154</f>
        <v>16777</v>
      </c>
      <c r="BE60">
        <v>1</v>
      </c>
      <c r="BG60">
        <v>1</v>
      </c>
      <c r="BH60">
        <v>1</v>
      </c>
      <c r="BM60">
        <v>1</v>
      </c>
      <c r="BN60">
        <v>1</v>
      </c>
      <c r="BP60">
        <v>1</v>
      </c>
      <c r="BR60">
        <v>1</v>
      </c>
      <c r="BS60">
        <v>1</v>
      </c>
    </row>
    <row r="61" spans="1:72" ht="63" x14ac:dyDescent="0.2">
      <c r="A61" s="26">
        <v>228</v>
      </c>
      <c r="B61" s="27" t="s">
        <v>2</v>
      </c>
      <c r="C61" s="27" t="s">
        <v>69</v>
      </c>
      <c r="D61" s="27" t="s">
        <v>11</v>
      </c>
      <c r="E61" s="28">
        <v>100000</v>
      </c>
      <c r="F61" s="27" t="s">
        <v>11</v>
      </c>
      <c r="G61" s="28">
        <v>271434.02</v>
      </c>
      <c r="H61" s="29" t="s">
        <v>6</v>
      </c>
      <c r="I61" s="27" t="s">
        <v>7</v>
      </c>
      <c r="J61" s="27" t="s">
        <v>8</v>
      </c>
      <c r="K61" s="27" t="s">
        <v>8</v>
      </c>
      <c r="L61" s="27" t="s">
        <v>7</v>
      </c>
    </row>
    <row r="62" spans="1:72" ht="63" x14ac:dyDescent="0.2">
      <c r="A62" s="26">
        <v>236</v>
      </c>
      <c r="B62" s="27" t="s">
        <v>70</v>
      </c>
      <c r="C62" s="27" t="s">
        <v>71</v>
      </c>
      <c r="D62" s="27" t="s">
        <v>11</v>
      </c>
      <c r="E62" s="28">
        <v>100000</v>
      </c>
      <c r="F62" s="27" t="s">
        <v>11</v>
      </c>
      <c r="G62" s="28">
        <v>271434.02</v>
      </c>
      <c r="H62" s="29" t="s">
        <v>6</v>
      </c>
      <c r="I62" s="27" t="s">
        <v>7</v>
      </c>
      <c r="J62" s="27" t="s">
        <v>8</v>
      </c>
      <c r="K62" s="27" t="s">
        <v>8</v>
      </c>
      <c r="L62" s="27" t="s">
        <v>7</v>
      </c>
      <c r="P62">
        <f>7745.505043+2393.55225+889.08799</f>
        <v>11028.145283</v>
      </c>
      <c r="AE62">
        <v>1</v>
      </c>
      <c r="AF62">
        <v>1</v>
      </c>
      <c r="AG62">
        <v>1</v>
      </c>
      <c r="AH62">
        <v>1</v>
      </c>
      <c r="BF62">
        <v>1</v>
      </c>
      <c r="BN62">
        <v>1</v>
      </c>
      <c r="BR62">
        <v>1</v>
      </c>
    </row>
    <row r="63" spans="1:72" ht="63" x14ac:dyDescent="0.2">
      <c r="A63" s="26">
        <v>241</v>
      </c>
      <c r="B63" s="27" t="s">
        <v>2</v>
      </c>
      <c r="C63" s="27" t="s">
        <v>72</v>
      </c>
      <c r="D63" s="27" t="s">
        <v>11</v>
      </c>
      <c r="E63" s="28">
        <v>100000</v>
      </c>
      <c r="F63" s="27" t="s">
        <v>11</v>
      </c>
      <c r="G63" s="28">
        <v>519056.7</v>
      </c>
      <c r="H63" s="30" t="s">
        <v>14</v>
      </c>
      <c r="I63" s="27" t="s">
        <v>7</v>
      </c>
      <c r="J63" s="27" t="s">
        <v>8</v>
      </c>
      <c r="K63" s="27" t="s">
        <v>8</v>
      </c>
      <c r="L63" s="27" t="s">
        <v>7</v>
      </c>
    </row>
    <row r="64" spans="1:72" ht="63" x14ac:dyDescent="0.2">
      <c r="A64" s="26">
        <v>265</v>
      </c>
      <c r="B64" s="27" t="s">
        <v>70</v>
      </c>
      <c r="C64" s="27" t="s">
        <v>73</v>
      </c>
      <c r="D64" s="27" t="s">
        <v>11</v>
      </c>
      <c r="E64" s="28">
        <v>100000</v>
      </c>
      <c r="F64" s="27" t="s">
        <v>11</v>
      </c>
      <c r="G64" s="28">
        <v>271434.02</v>
      </c>
      <c r="H64" s="29" t="s">
        <v>6</v>
      </c>
      <c r="I64" s="27" t="s">
        <v>7</v>
      </c>
      <c r="J64" s="27" t="s">
        <v>8</v>
      </c>
      <c r="K64" s="27" t="s">
        <v>8</v>
      </c>
      <c r="L64" s="27" t="s">
        <v>7</v>
      </c>
    </row>
    <row r="65" spans="1:70" ht="63" x14ac:dyDescent="0.2">
      <c r="A65" s="26">
        <v>272</v>
      </c>
      <c r="B65" s="27" t="s">
        <v>74</v>
      </c>
      <c r="C65" s="27" t="s">
        <v>75</v>
      </c>
      <c r="D65" s="27" t="s">
        <v>11</v>
      </c>
      <c r="E65" s="28">
        <v>300000</v>
      </c>
      <c r="F65" s="27"/>
      <c r="G65" s="27"/>
      <c r="H65" s="30" t="s">
        <v>14</v>
      </c>
      <c r="I65" s="27" t="s">
        <v>7</v>
      </c>
      <c r="J65" s="27" t="s">
        <v>8</v>
      </c>
      <c r="K65" s="27" t="s">
        <v>8</v>
      </c>
      <c r="L65" s="27" t="s">
        <v>8</v>
      </c>
    </row>
    <row r="66" spans="1:70" ht="63" x14ac:dyDescent="0.2">
      <c r="A66" s="26">
        <v>281</v>
      </c>
      <c r="B66" s="27" t="s">
        <v>2</v>
      </c>
      <c r="C66" s="27" t="s">
        <v>76</v>
      </c>
      <c r="D66" s="27" t="s">
        <v>4</v>
      </c>
      <c r="E66" s="28">
        <v>500000</v>
      </c>
      <c r="F66" s="27" t="s">
        <v>4</v>
      </c>
      <c r="G66" s="28">
        <v>2500000</v>
      </c>
      <c r="H66" s="29" t="s">
        <v>6</v>
      </c>
      <c r="I66" s="27" t="s">
        <v>7</v>
      </c>
      <c r="J66" s="27" t="s">
        <v>8</v>
      </c>
      <c r="K66" s="27" t="s">
        <v>8</v>
      </c>
      <c r="L66" s="27" t="s">
        <v>7</v>
      </c>
      <c r="N66">
        <f>20265+46753+29098+873+37135+17652+3471+16780+19604+1319</f>
        <v>192950</v>
      </c>
      <c r="P66">
        <f>86992+68</f>
        <v>87060</v>
      </c>
      <c r="U66">
        <v>1</v>
      </c>
      <c r="V66">
        <v>1</v>
      </c>
      <c r="W66">
        <v>1</v>
      </c>
      <c r="Z66">
        <v>1</v>
      </c>
      <c r="AA66">
        <v>1</v>
      </c>
      <c r="AD66">
        <v>1</v>
      </c>
      <c r="AE66">
        <v>1</v>
      </c>
      <c r="AF66">
        <v>1</v>
      </c>
      <c r="AJ66">
        <v>1</v>
      </c>
      <c r="AK66">
        <v>1</v>
      </c>
      <c r="AL66">
        <v>1</v>
      </c>
      <c r="AO66">
        <v>1</v>
      </c>
      <c r="AP66">
        <v>1</v>
      </c>
      <c r="AU66">
        <v>1</v>
      </c>
      <c r="BG66">
        <v>1</v>
      </c>
      <c r="BH66">
        <v>1</v>
      </c>
      <c r="BJ66">
        <v>1</v>
      </c>
      <c r="BK66">
        <v>1</v>
      </c>
      <c r="BN66">
        <v>1</v>
      </c>
    </row>
    <row r="67" spans="1:70" ht="63" x14ac:dyDescent="0.2">
      <c r="A67" s="26">
        <v>287</v>
      </c>
      <c r="B67" s="27" t="s">
        <v>2</v>
      </c>
      <c r="C67" s="27" t="s">
        <v>77</v>
      </c>
      <c r="D67" s="27" t="s">
        <v>78</v>
      </c>
      <c r="E67" s="28">
        <v>5000000</v>
      </c>
      <c r="F67" s="27" t="s">
        <v>4</v>
      </c>
      <c r="G67" s="28">
        <v>2571434.02</v>
      </c>
      <c r="H67" s="29" t="s">
        <v>6</v>
      </c>
      <c r="I67" s="27" t="s">
        <v>7</v>
      </c>
      <c r="J67" s="27" t="s">
        <v>7</v>
      </c>
      <c r="K67" s="27" t="s">
        <v>8</v>
      </c>
      <c r="L67" s="27" t="s">
        <v>7</v>
      </c>
    </row>
    <row r="68" spans="1:70" ht="63" x14ac:dyDescent="0.2">
      <c r="A68" s="26">
        <v>289</v>
      </c>
      <c r="B68" s="27" t="s">
        <v>2</v>
      </c>
      <c r="C68" s="27" t="s">
        <v>79</v>
      </c>
      <c r="D68" s="27" t="s">
        <v>4</v>
      </c>
      <c r="E68" s="28">
        <v>800000</v>
      </c>
      <c r="F68" s="27" t="s">
        <v>11</v>
      </c>
      <c r="G68" s="28">
        <v>438113.4</v>
      </c>
      <c r="H68" s="29" t="s">
        <v>6</v>
      </c>
      <c r="I68" s="27" t="s">
        <v>7</v>
      </c>
      <c r="J68" s="27" t="s">
        <v>7</v>
      </c>
      <c r="K68" s="27" t="s">
        <v>8</v>
      </c>
      <c r="L68" s="27" t="s">
        <v>7</v>
      </c>
      <c r="P68">
        <f>2193+4226+4140</f>
        <v>10559</v>
      </c>
      <c r="Z68">
        <v>1</v>
      </c>
      <c r="AA68">
        <v>1</v>
      </c>
      <c r="BE68">
        <v>1</v>
      </c>
      <c r="BH68">
        <v>1</v>
      </c>
      <c r="BJ68">
        <v>1</v>
      </c>
      <c r="BN68">
        <v>1</v>
      </c>
      <c r="BR68">
        <v>1</v>
      </c>
    </row>
    <row r="69" spans="1:70" ht="63" x14ac:dyDescent="0.2">
      <c r="A69" s="26">
        <v>292</v>
      </c>
      <c r="B69" s="27" t="s">
        <v>70</v>
      </c>
      <c r="C69" s="27" t="s">
        <v>80</v>
      </c>
      <c r="D69" s="27" t="s">
        <v>81</v>
      </c>
      <c r="E69" s="28">
        <v>2000000</v>
      </c>
      <c r="F69" s="27" t="s">
        <v>5</v>
      </c>
      <c r="G69" s="28">
        <v>4500000</v>
      </c>
      <c r="H69" s="29" t="s">
        <v>6</v>
      </c>
      <c r="I69" s="27" t="s">
        <v>7</v>
      </c>
      <c r="J69" s="27" t="s">
        <v>7</v>
      </c>
      <c r="K69" s="27" t="s">
        <v>8</v>
      </c>
      <c r="L69" s="27" t="s">
        <v>7</v>
      </c>
    </row>
    <row r="70" spans="1:70" ht="63" x14ac:dyDescent="0.2">
      <c r="A70" s="26">
        <v>298</v>
      </c>
      <c r="B70" s="27" t="s">
        <v>2</v>
      </c>
      <c r="C70" s="27" t="s">
        <v>82</v>
      </c>
      <c r="D70" s="27" t="s">
        <v>11</v>
      </c>
      <c r="E70" s="28">
        <v>300000</v>
      </c>
      <c r="F70" s="27" t="s">
        <v>11</v>
      </c>
      <c r="G70" s="28">
        <v>200000</v>
      </c>
      <c r="H70" s="29" t="s">
        <v>6</v>
      </c>
      <c r="I70" s="27" t="s">
        <v>7</v>
      </c>
      <c r="J70" s="27" t="s">
        <v>8</v>
      </c>
      <c r="K70" s="27" t="s">
        <v>8</v>
      </c>
      <c r="L70" s="27" t="s">
        <v>7</v>
      </c>
    </row>
    <row r="71" spans="1:70" s="33" customFormat="1" ht="63" x14ac:dyDescent="0.2">
      <c r="A71" s="31">
        <v>304</v>
      </c>
      <c r="B71" s="32" t="s">
        <v>2</v>
      </c>
      <c r="C71" s="32" t="s">
        <v>83</v>
      </c>
      <c r="D71" s="27" t="s">
        <v>4</v>
      </c>
      <c r="E71" s="28">
        <v>500000</v>
      </c>
      <c r="F71" s="27" t="s">
        <v>11</v>
      </c>
      <c r="G71" s="28">
        <v>200000</v>
      </c>
      <c r="H71" s="29" t="s">
        <v>6</v>
      </c>
      <c r="I71" s="27" t="s">
        <v>7</v>
      </c>
      <c r="J71" s="27" t="s">
        <v>8</v>
      </c>
      <c r="K71" s="27" t="s">
        <v>8</v>
      </c>
      <c r="L71" s="27" t="s">
        <v>7</v>
      </c>
      <c r="N71" s="33">
        <f>237722.105</f>
        <v>237722.10500000001</v>
      </c>
      <c r="Z71" s="33">
        <v>1</v>
      </c>
      <c r="AA71" s="33">
        <v>1</v>
      </c>
      <c r="AB71" s="33">
        <v>1</v>
      </c>
      <c r="BH71" s="33">
        <v>1</v>
      </c>
      <c r="BL71" s="33">
        <v>1</v>
      </c>
      <c r="BM71" s="33">
        <v>1</v>
      </c>
    </row>
    <row r="72" spans="1:70" s="33" customFormat="1" ht="63" x14ac:dyDescent="0.2">
      <c r="A72" s="31">
        <v>305</v>
      </c>
      <c r="B72" s="32" t="s">
        <v>2</v>
      </c>
      <c r="C72" s="32" t="s">
        <v>84</v>
      </c>
      <c r="D72" s="27" t="s">
        <v>11</v>
      </c>
      <c r="E72" s="28">
        <v>300000</v>
      </c>
      <c r="F72" s="27"/>
      <c r="G72" s="27"/>
      <c r="H72" s="29" t="s">
        <v>6</v>
      </c>
      <c r="I72" s="27" t="s">
        <v>7</v>
      </c>
      <c r="J72" s="27" t="s">
        <v>8</v>
      </c>
      <c r="K72" s="27" t="s">
        <v>8</v>
      </c>
      <c r="L72" s="27" t="s">
        <v>8</v>
      </c>
      <c r="N72" s="33">
        <f>82787.435+23540.605</f>
        <v>106328.04</v>
      </c>
      <c r="Z72" s="33">
        <v>1</v>
      </c>
      <c r="AA72" s="33">
        <v>1</v>
      </c>
      <c r="AB72" s="33">
        <v>1</v>
      </c>
      <c r="BH72" s="33">
        <v>1</v>
      </c>
      <c r="BL72" s="33">
        <v>1</v>
      </c>
      <c r="BM72" s="33">
        <v>1</v>
      </c>
    </row>
    <row r="73" spans="1:70" ht="63" x14ac:dyDescent="0.2">
      <c r="A73" s="26">
        <v>306</v>
      </c>
      <c r="B73" s="27" t="s">
        <v>2</v>
      </c>
      <c r="C73" s="27" t="s">
        <v>85</v>
      </c>
      <c r="D73" s="27" t="s">
        <v>81</v>
      </c>
      <c r="E73" s="28">
        <v>2000000</v>
      </c>
      <c r="F73" s="27" t="s">
        <v>81</v>
      </c>
      <c r="G73" s="28">
        <v>7000000</v>
      </c>
      <c r="H73" s="29" t="s">
        <v>6</v>
      </c>
      <c r="I73" s="27" t="s">
        <v>7</v>
      </c>
      <c r="J73" s="27" t="s">
        <v>7</v>
      </c>
      <c r="K73" s="27" t="s">
        <v>8</v>
      </c>
      <c r="L73" s="27" t="s">
        <v>7</v>
      </c>
      <c r="N73">
        <f>596114.29403+1222.68345+3150546.92265+1180481.42484</f>
        <v>4928365.3249699995</v>
      </c>
      <c r="O73">
        <f>1654056.67844+9060.72516+92533.79267+376112.3712</f>
        <v>2131763.5674699997</v>
      </c>
      <c r="U73">
        <v>1</v>
      </c>
      <c r="V73">
        <v>1</v>
      </c>
      <c r="W73">
        <v>1</v>
      </c>
      <c r="X73">
        <v>1</v>
      </c>
      <c r="Y73">
        <v>1</v>
      </c>
      <c r="Z73">
        <v>1</v>
      </c>
      <c r="AA73">
        <v>1</v>
      </c>
      <c r="AB73">
        <v>1</v>
      </c>
      <c r="AC73">
        <v>1</v>
      </c>
      <c r="AD73">
        <v>1</v>
      </c>
      <c r="AE73">
        <v>1</v>
      </c>
      <c r="AF73">
        <v>1</v>
      </c>
      <c r="AG73">
        <v>1</v>
      </c>
      <c r="AH73">
        <v>1</v>
      </c>
      <c r="AI73">
        <v>1</v>
      </c>
      <c r="AJ73">
        <v>1</v>
      </c>
      <c r="AK73">
        <v>1</v>
      </c>
      <c r="AM73">
        <v>1</v>
      </c>
      <c r="AN73">
        <v>1</v>
      </c>
      <c r="AO73">
        <v>1</v>
      </c>
      <c r="AP73">
        <v>1</v>
      </c>
      <c r="AQ73">
        <v>1</v>
      </c>
      <c r="AR73">
        <v>1</v>
      </c>
      <c r="AS73">
        <v>1</v>
      </c>
      <c r="AT73">
        <v>1</v>
      </c>
      <c r="AU73">
        <v>1</v>
      </c>
      <c r="AV73">
        <v>1</v>
      </c>
      <c r="BA73">
        <v>1</v>
      </c>
      <c r="BC73">
        <v>1</v>
      </c>
      <c r="BG73">
        <v>1</v>
      </c>
      <c r="BH73">
        <v>1</v>
      </c>
      <c r="BK73">
        <v>1</v>
      </c>
      <c r="BN73">
        <v>1</v>
      </c>
      <c r="BO73">
        <v>1</v>
      </c>
    </row>
    <row r="74" spans="1:70" ht="63" x14ac:dyDescent="0.2">
      <c r="A74" s="26">
        <v>308</v>
      </c>
      <c r="B74" s="27" t="s">
        <v>2</v>
      </c>
      <c r="C74" s="27" t="s">
        <v>86</v>
      </c>
      <c r="D74" s="27" t="s">
        <v>5</v>
      </c>
      <c r="E74" s="28">
        <v>1500000</v>
      </c>
      <c r="F74" s="27" t="s">
        <v>5</v>
      </c>
      <c r="G74" s="28">
        <v>4500000</v>
      </c>
      <c r="H74" s="29" t="s">
        <v>6</v>
      </c>
      <c r="I74" s="27" t="s">
        <v>7</v>
      </c>
      <c r="J74" s="27" t="s">
        <v>8</v>
      </c>
      <c r="K74" s="27" t="s">
        <v>8</v>
      </c>
      <c r="L74" s="27" t="s">
        <v>7</v>
      </c>
      <c r="P74">
        <f>2318.5+2469.8+16096.7+13012.2+16609+7866+8246.4+6023.3+5975.5+4477.4+8836.4+592.6+706.9+417.2+14215.6+2313.9+1628.6+4192.7+3967.2+5216.4+3705.8+6837.3+13167.1+99.4+1189.6+4155.2+6884.9+3032.7+19494.8+19636+17522.2+14949.6+2582.4+2311.5+19560.1+1328.1+7223.1+9220.2+813.13+992.5+12797.6+2020.1+2039.5+12337.1+14154.1+6396.7+15676.2+14228.62+19654.3+28688.5+3871.2+2552.4+2745.5+2453.3+2327.3+3736.1+2765.7+5646.5+2985.64+2904+8015.3+4007.3+16452.2+1494.4+1928.3+3291.9+826.7+2356.8+3839.9+3035.8+19766.5+2344.3+3382.02+2229.9+2274.14+2406.24+3018.3+2347.7+2243.86+2656.9+3678.2+3602.7+2861.1+2926.3+2536.86+3023.4+3805.4+2388.9+2447.1+603.4+2567.8+3354.3+3329.8+3350.4+19358.7+3786.1+11169.36+50103.5+6043.2+8925.3+28120.8+3736.2+6661.1+6721.3+12773.5+31148.3+8008.9+14438.2+11418.9+692.5+6134.1+5248.9+7390.1+3044.7+11003.04+9014.3+24554.6+369.5+6057.8+10823.4+10658.4+19517.4+20623.7+10278.1+14667.9+18826+18286.1+9671.5+13390.6+13429.5</f>
        <v>1024357.9100000001</v>
      </c>
      <c r="BG74">
        <v>1</v>
      </c>
      <c r="BL74">
        <v>1</v>
      </c>
    </row>
    <row r="75" spans="1:70" ht="63" x14ac:dyDescent="0.2">
      <c r="A75" s="26">
        <v>309</v>
      </c>
      <c r="B75" s="27" t="s">
        <v>2</v>
      </c>
      <c r="C75" s="27" t="s">
        <v>87</v>
      </c>
      <c r="D75" s="27" t="s">
        <v>11</v>
      </c>
      <c r="E75" s="28">
        <v>100000</v>
      </c>
      <c r="F75" s="27" t="s">
        <v>11</v>
      </c>
      <c r="G75" s="28">
        <v>271434.02</v>
      </c>
      <c r="H75" s="29" t="s">
        <v>6</v>
      </c>
      <c r="I75" s="27" t="s">
        <v>7</v>
      </c>
      <c r="J75" s="27" t="s">
        <v>8</v>
      </c>
      <c r="K75" s="27" t="s">
        <v>8</v>
      </c>
      <c r="L75" s="27" t="s">
        <v>7</v>
      </c>
    </row>
    <row r="76" spans="1:70" ht="63" x14ac:dyDescent="0.2">
      <c r="A76" s="26">
        <v>310</v>
      </c>
      <c r="B76" s="27" t="s">
        <v>2</v>
      </c>
      <c r="C76" s="27" t="s">
        <v>88</v>
      </c>
      <c r="D76" s="27" t="s">
        <v>11</v>
      </c>
      <c r="E76" s="28">
        <v>300000</v>
      </c>
      <c r="F76" s="27"/>
      <c r="G76" s="27"/>
      <c r="H76" s="29" t="s">
        <v>6</v>
      </c>
      <c r="I76" s="27" t="s">
        <v>7</v>
      </c>
      <c r="J76" s="27" t="s">
        <v>8</v>
      </c>
      <c r="K76" s="27" t="s">
        <v>8</v>
      </c>
      <c r="L76" s="27" t="s">
        <v>8</v>
      </c>
    </row>
    <row r="77" spans="1:70" ht="63" x14ac:dyDescent="0.2">
      <c r="A77" s="26">
        <v>312</v>
      </c>
      <c r="B77" s="27" t="s">
        <v>2</v>
      </c>
      <c r="C77" s="27" t="s">
        <v>89</v>
      </c>
      <c r="D77" s="27" t="s">
        <v>11</v>
      </c>
      <c r="E77" s="28">
        <v>100000</v>
      </c>
      <c r="F77" s="27" t="s">
        <v>11</v>
      </c>
      <c r="G77" s="28">
        <v>200000</v>
      </c>
      <c r="H77" s="29" t="s">
        <v>6</v>
      </c>
      <c r="I77" s="27" t="s">
        <v>7</v>
      </c>
      <c r="J77" s="27" t="s">
        <v>8</v>
      </c>
      <c r="K77" s="27" t="s">
        <v>8</v>
      </c>
      <c r="L77" s="27" t="s">
        <v>7</v>
      </c>
      <c r="N77">
        <f>10230+4797.19+31343.28</f>
        <v>46370.47</v>
      </c>
      <c r="U77">
        <v>1</v>
      </c>
      <c r="V77">
        <v>1</v>
      </c>
      <c r="W77">
        <v>1</v>
      </c>
      <c r="X77">
        <v>1</v>
      </c>
      <c r="Z77">
        <v>1</v>
      </c>
      <c r="AB77">
        <v>1</v>
      </c>
      <c r="AF77">
        <v>1</v>
      </c>
      <c r="AG77">
        <v>1</v>
      </c>
      <c r="AH77">
        <v>1</v>
      </c>
      <c r="AJ77">
        <v>1</v>
      </c>
      <c r="AK77">
        <v>1</v>
      </c>
      <c r="AL77">
        <v>1</v>
      </c>
      <c r="AM77">
        <v>1</v>
      </c>
      <c r="AN77">
        <v>1</v>
      </c>
      <c r="AO77">
        <v>1</v>
      </c>
      <c r="AP77">
        <v>1</v>
      </c>
      <c r="AR77">
        <v>1</v>
      </c>
      <c r="AS77">
        <v>1</v>
      </c>
      <c r="AU77">
        <v>1</v>
      </c>
      <c r="AV77">
        <v>1</v>
      </c>
      <c r="BB77">
        <v>1</v>
      </c>
      <c r="BH77">
        <v>1</v>
      </c>
      <c r="BJ77">
        <v>1</v>
      </c>
      <c r="BM77">
        <v>1</v>
      </c>
    </row>
    <row r="78" spans="1:70" ht="63" x14ac:dyDescent="0.2">
      <c r="A78" s="26">
        <v>315</v>
      </c>
      <c r="B78" s="27" t="s">
        <v>2</v>
      </c>
      <c r="C78" s="27" t="s">
        <v>90</v>
      </c>
      <c r="D78" s="27" t="s">
        <v>4</v>
      </c>
      <c r="E78" s="28">
        <v>500000</v>
      </c>
      <c r="F78" s="27" t="s">
        <v>11</v>
      </c>
      <c r="G78" s="28">
        <v>200000</v>
      </c>
      <c r="H78" s="29" t="s">
        <v>6</v>
      </c>
      <c r="I78" s="27" t="s">
        <v>7</v>
      </c>
      <c r="J78" s="27" t="s">
        <v>7</v>
      </c>
      <c r="K78" s="27" t="s">
        <v>8</v>
      </c>
      <c r="L78" s="27" t="s">
        <v>7</v>
      </c>
    </row>
    <row r="79" spans="1:70" ht="63" x14ac:dyDescent="0.2">
      <c r="A79" s="26">
        <v>316</v>
      </c>
      <c r="B79" s="27" t="s">
        <v>2</v>
      </c>
      <c r="C79" s="27" t="s">
        <v>91</v>
      </c>
      <c r="D79" s="27" t="s">
        <v>81</v>
      </c>
      <c r="E79" s="28">
        <v>2000000</v>
      </c>
      <c r="F79" s="27" t="s">
        <v>11</v>
      </c>
      <c r="G79" s="28">
        <v>200000</v>
      </c>
      <c r="H79" s="29" t="s">
        <v>6</v>
      </c>
      <c r="I79" s="27" t="s">
        <v>7</v>
      </c>
      <c r="J79" s="27" t="s">
        <v>7</v>
      </c>
      <c r="K79" s="27" t="s">
        <v>8</v>
      </c>
      <c r="L79" s="27" t="s">
        <v>7</v>
      </c>
      <c r="N79">
        <f>1377061.53+441986.11+554789.71+271682.78+1250294.98+9346570.25+602050.08+7068944.4</f>
        <v>20913379.84</v>
      </c>
      <c r="P79">
        <f>67320.17</f>
        <v>67320.17</v>
      </c>
      <c r="BG79">
        <v>1</v>
      </c>
      <c r="BJ79">
        <v>1</v>
      </c>
      <c r="BR79">
        <v>1</v>
      </c>
    </row>
    <row r="80" spans="1:70" ht="63" x14ac:dyDescent="0.2">
      <c r="A80" s="26">
        <v>317</v>
      </c>
      <c r="B80" s="27" t="s">
        <v>2</v>
      </c>
      <c r="C80" s="27" t="s">
        <v>92</v>
      </c>
      <c r="D80" s="27" t="s">
        <v>5</v>
      </c>
      <c r="E80" s="28">
        <v>1500000</v>
      </c>
      <c r="F80" s="27" t="s">
        <v>11</v>
      </c>
      <c r="G80" s="28">
        <v>200000</v>
      </c>
      <c r="H80" s="29" t="s">
        <v>6</v>
      </c>
      <c r="I80" s="27" t="s">
        <v>7</v>
      </c>
      <c r="J80" s="27" t="s">
        <v>8</v>
      </c>
      <c r="K80" s="27" t="s">
        <v>8</v>
      </c>
      <c r="L80" s="27" t="s">
        <v>7</v>
      </c>
      <c r="R80">
        <f>6745.7+6745.7</f>
        <v>13491.4</v>
      </c>
      <c r="U80">
        <v>1</v>
      </c>
      <c r="V80">
        <v>1</v>
      </c>
      <c r="W80">
        <v>1</v>
      </c>
      <c r="X80">
        <v>1</v>
      </c>
      <c r="Y80">
        <v>1</v>
      </c>
      <c r="Z80">
        <v>1</v>
      </c>
      <c r="AA80">
        <v>1</v>
      </c>
      <c r="BF80">
        <v>1</v>
      </c>
      <c r="BR80">
        <v>1</v>
      </c>
    </row>
    <row r="81" spans="1:72" ht="63" x14ac:dyDescent="0.2">
      <c r="A81" s="26">
        <v>319</v>
      </c>
      <c r="B81" s="27" t="s">
        <v>2</v>
      </c>
      <c r="C81" s="27" t="s">
        <v>93</v>
      </c>
      <c r="D81" s="27" t="s">
        <v>11</v>
      </c>
      <c r="E81" s="28">
        <v>100000</v>
      </c>
      <c r="F81" s="27" t="s">
        <v>11</v>
      </c>
      <c r="G81" s="28">
        <v>200000</v>
      </c>
      <c r="H81" s="29" t="s">
        <v>6</v>
      </c>
      <c r="I81" s="27" t="s">
        <v>7</v>
      </c>
      <c r="J81" s="27" t="s">
        <v>8</v>
      </c>
      <c r="K81" s="27" t="s">
        <v>8</v>
      </c>
      <c r="L81" s="27" t="s">
        <v>7</v>
      </c>
      <c r="N81">
        <f>2825+2930+1664+7265+2825+4878+18270+4350+2395+1247</f>
        <v>48649</v>
      </c>
      <c r="AJ81">
        <v>1</v>
      </c>
      <c r="AL81">
        <v>1</v>
      </c>
      <c r="BH81">
        <v>1</v>
      </c>
      <c r="BL81">
        <v>1</v>
      </c>
      <c r="BM81">
        <v>1</v>
      </c>
      <c r="BS81">
        <v>1</v>
      </c>
    </row>
    <row r="82" spans="1:72" ht="63" x14ac:dyDescent="0.2">
      <c r="A82" s="26">
        <v>320</v>
      </c>
      <c r="B82" s="27" t="s">
        <v>94</v>
      </c>
      <c r="C82" s="27" t="s">
        <v>95</v>
      </c>
      <c r="D82" s="27" t="s">
        <v>5</v>
      </c>
      <c r="E82" s="28">
        <v>1500000</v>
      </c>
      <c r="F82" s="27"/>
      <c r="G82" s="27"/>
      <c r="H82" s="29" t="s">
        <v>6</v>
      </c>
      <c r="I82" s="27" t="s">
        <v>7</v>
      </c>
      <c r="J82" s="27" t="s">
        <v>7</v>
      </c>
      <c r="K82" s="27" t="s">
        <v>8</v>
      </c>
      <c r="L82" s="27" t="s">
        <v>8</v>
      </c>
      <c r="N82">
        <f>4879859+622437+85369+35165+1556456+724057+99345+660369+892458+365352+230847+95390+244925+240891+11991+798968+735985+3076+109994+75821+651306+103793+61110+18448+187703+13722+225170+757658+798968+735985+123705+566775+101635</f>
        <v>16814733</v>
      </c>
      <c r="O82">
        <f>557945+24293+292718</f>
        <v>874956</v>
      </c>
      <c r="P82">
        <f>202374</f>
        <v>202374</v>
      </c>
      <c r="U82">
        <v>1</v>
      </c>
      <c r="V82">
        <v>1</v>
      </c>
      <c r="Y82">
        <v>1</v>
      </c>
      <c r="Z82">
        <v>1</v>
      </c>
      <c r="AA82">
        <v>1</v>
      </c>
      <c r="AB82">
        <v>1</v>
      </c>
      <c r="AC82">
        <v>1</v>
      </c>
      <c r="AD82">
        <v>1</v>
      </c>
      <c r="AE82">
        <v>1</v>
      </c>
      <c r="AF82">
        <v>1</v>
      </c>
      <c r="AG82">
        <v>1</v>
      </c>
      <c r="AH82">
        <v>1</v>
      </c>
      <c r="AI82">
        <v>1</v>
      </c>
      <c r="AJ82">
        <v>1</v>
      </c>
      <c r="AK82">
        <v>1</v>
      </c>
      <c r="AL82">
        <v>1</v>
      </c>
      <c r="AM82">
        <v>1</v>
      </c>
      <c r="AN82">
        <v>1</v>
      </c>
      <c r="AO82">
        <v>1</v>
      </c>
      <c r="AP82">
        <v>1</v>
      </c>
      <c r="AR82">
        <v>1</v>
      </c>
      <c r="AS82">
        <v>1</v>
      </c>
      <c r="BB82">
        <v>1</v>
      </c>
      <c r="BE82">
        <v>1</v>
      </c>
      <c r="BF82">
        <v>1</v>
      </c>
      <c r="BK82">
        <v>1</v>
      </c>
      <c r="BM82">
        <v>1</v>
      </c>
      <c r="BR82">
        <v>1</v>
      </c>
      <c r="BT82">
        <v>1</v>
      </c>
    </row>
    <row r="83" spans="1:72" ht="63" x14ac:dyDescent="0.2">
      <c r="A83" s="26">
        <v>322</v>
      </c>
      <c r="B83" s="27" t="s">
        <v>2</v>
      </c>
      <c r="C83" s="27" t="s">
        <v>96</v>
      </c>
      <c r="D83" s="27" t="s">
        <v>11</v>
      </c>
      <c r="E83" s="28">
        <v>100000</v>
      </c>
      <c r="F83" s="27" t="s">
        <v>11</v>
      </c>
      <c r="G83" s="28">
        <v>200000</v>
      </c>
      <c r="H83" s="29" t="s">
        <v>6</v>
      </c>
      <c r="I83" s="27" t="s">
        <v>7</v>
      </c>
      <c r="J83" s="27" t="s">
        <v>8</v>
      </c>
      <c r="K83" s="27" t="s">
        <v>8</v>
      </c>
      <c r="L83" s="27" t="s">
        <v>7</v>
      </c>
      <c r="N83">
        <f>220.809+209.687+80.57+53.173</f>
        <v>564.23900000000003</v>
      </c>
      <c r="AL83">
        <v>1</v>
      </c>
      <c r="BH83">
        <v>1</v>
      </c>
      <c r="BN83">
        <v>1</v>
      </c>
    </row>
    <row r="84" spans="1:72" ht="63" x14ac:dyDescent="0.2">
      <c r="A84" s="26">
        <v>323</v>
      </c>
      <c r="B84" s="27" t="s">
        <v>70</v>
      </c>
      <c r="C84" s="27" t="s">
        <v>97</v>
      </c>
      <c r="D84" s="27" t="s">
        <v>11</v>
      </c>
      <c r="E84" s="28">
        <v>300000</v>
      </c>
      <c r="F84" s="27" t="s">
        <v>11</v>
      </c>
      <c r="G84" s="28">
        <v>200000</v>
      </c>
      <c r="H84" s="29" t="s">
        <v>6</v>
      </c>
      <c r="I84" s="27" t="s">
        <v>7</v>
      </c>
      <c r="J84" s="27" t="s">
        <v>8</v>
      </c>
      <c r="K84" s="27" t="s">
        <v>8</v>
      </c>
      <c r="L84" s="27" t="s">
        <v>7</v>
      </c>
      <c r="P84">
        <f>1117.772+17344.196+8672.392+1519.046</f>
        <v>28653.405999999999</v>
      </c>
      <c r="U84">
        <v>1</v>
      </c>
      <c r="V84">
        <v>1</v>
      </c>
      <c r="Z84">
        <v>1</v>
      </c>
      <c r="AA84">
        <v>1</v>
      </c>
      <c r="AC84">
        <v>1</v>
      </c>
      <c r="AD84">
        <v>1</v>
      </c>
      <c r="AE84">
        <v>1</v>
      </c>
      <c r="AF84">
        <v>1</v>
      </c>
      <c r="AH84">
        <v>1</v>
      </c>
      <c r="AK84">
        <v>1</v>
      </c>
      <c r="AL84">
        <v>1</v>
      </c>
      <c r="BE84">
        <v>1</v>
      </c>
      <c r="BG84">
        <v>1</v>
      </c>
      <c r="BJ84">
        <v>1</v>
      </c>
      <c r="BM84">
        <v>1</v>
      </c>
      <c r="BR84">
        <v>1</v>
      </c>
    </row>
    <row r="85" spans="1:72" ht="63" x14ac:dyDescent="0.2">
      <c r="A85" s="26">
        <v>325</v>
      </c>
      <c r="B85" s="27" t="s">
        <v>2</v>
      </c>
      <c r="C85" s="27" t="s">
        <v>98</v>
      </c>
      <c r="D85" s="27" t="s">
        <v>11</v>
      </c>
      <c r="E85" s="28">
        <v>100000</v>
      </c>
      <c r="F85" s="27" t="s">
        <v>11</v>
      </c>
      <c r="G85" s="28">
        <v>200000</v>
      </c>
      <c r="H85" s="29" t="s">
        <v>6</v>
      </c>
      <c r="I85" s="27" t="s">
        <v>7</v>
      </c>
      <c r="J85" s="27" t="s">
        <v>8</v>
      </c>
      <c r="K85" s="27" t="s">
        <v>8</v>
      </c>
      <c r="L85" s="27" t="s">
        <v>7</v>
      </c>
    </row>
    <row r="86" spans="1:72" ht="63" x14ac:dyDescent="0.2">
      <c r="A86" s="26">
        <v>333</v>
      </c>
      <c r="B86" s="27" t="s">
        <v>2</v>
      </c>
      <c r="C86" s="27" t="s">
        <v>99</v>
      </c>
      <c r="D86" s="27" t="s">
        <v>81</v>
      </c>
      <c r="E86" s="28">
        <v>2000000</v>
      </c>
      <c r="F86" s="27"/>
      <c r="G86" s="27"/>
      <c r="H86" s="29" t="s">
        <v>6</v>
      </c>
      <c r="I86" s="27" t="s">
        <v>7</v>
      </c>
      <c r="J86" s="27" t="s">
        <v>7</v>
      </c>
      <c r="K86" s="27" t="s">
        <v>8</v>
      </c>
      <c r="L86" s="27" t="s">
        <v>8</v>
      </c>
      <c r="N86">
        <f>27166.8</f>
        <v>27166.799999999999</v>
      </c>
      <c r="O86">
        <f>515.44+11535.02+363036.1</f>
        <v>375086.56</v>
      </c>
      <c r="V86">
        <v>1</v>
      </c>
      <c r="Y86">
        <v>1</v>
      </c>
      <c r="Z86">
        <v>1</v>
      </c>
      <c r="AA86">
        <v>1</v>
      </c>
      <c r="AB86">
        <v>1</v>
      </c>
      <c r="AC86">
        <v>1</v>
      </c>
      <c r="AD86">
        <v>1</v>
      </c>
      <c r="AG86">
        <v>1</v>
      </c>
      <c r="AK86">
        <v>1</v>
      </c>
      <c r="AU86">
        <v>1</v>
      </c>
      <c r="BB86">
        <v>1</v>
      </c>
      <c r="BH86">
        <v>1</v>
      </c>
      <c r="BR86">
        <v>1</v>
      </c>
    </row>
    <row r="87" spans="1:72" ht="63" x14ac:dyDescent="0.2">
      <c r="A87" s="26">
        <v>335</v>
      </c>
      <c r="B87" s="27" t="s">
        <v>2</v>
      </c>
      <c r="C87" s="27" t="s">
        <v>100</v>
      </c>
      <c r="D87" s="27" t="s">
        <v>4</v>
      </c>
      <c r="E87" s="28">
        <v>500000</v>
      </c>
      <c r="F87" s="27" t="s">
        <v>11</v>
      </c>
      <c r="G87" s="28">
        <v>200000</v>
      </c>
      <c r="H87" s="29" t="s">
        <v>6</v>
      </c>
      <c r="I87" s="27" t="s">
        <v>7</v>
      </c>
      <c r="J87" s="27" t="s">
        <v>7</v>
      </c>
      <c r="K87" s="27" t="s">
        <v>8</v>
      </c>
      <c r="L87" s="27" t="s">
        <v>7</v>
      </c>
      <c r="O87">
        <v>15460.436</v>
      </c>
      <c r="BA87">
        <v>1</v>
      </c>
      <c r="BH87">
        <v>1</v>
      </c>
      <c r="BT87">
        <v>1</v>
      </c>
    </row>
    <row r="88" spans="1:72" ht="63" x14ac:dyDescent="0.2">
      <c r="A88" s="26">
        <v>337</v>
      </c>
      <c r="B88" s="27" t="s">
        <v>2</v>
      </c>
      <c r="C88" s="27" t="s">
        <v>101</v>
      </c>
      <c r="D88" s="27" t="s">
        <v>11</v>
      </c>
      <c r="E88" s="28">
        <v>100000</v>
      </c>
      <c r="F88" s="27" t="s">
        <v>11</v>
      </c>
      <c r="G88" s="28">
        <v>200000</v>
      </c>
      <c r="H88" s="29" t="s">
        <v>6</v>
      </c>
      <c r="I88" s="27" t="s">
        <v>7</v>
      </c>
      <c r="J88" s="27" t="s">
        <v>8</v>
      </c>
      <c r="K88" s="27" t="s">
        <v>8</v>
      </c>
      <c r="L88" s="27" t="s">
        <v>7</v>
      </c>
    </row>
    <row r="89" spans="1:72" ht="63" x14ac:dyDescent="0.2">
      <c r="A89" s="26">
        <v>338</v>
      </c>
      <c r="B89" s="27" t="s">
        <v>2</v>
      </c>
      <c r="C89" s="27" t="s">
        <v>102</v>
      </c>
      <c r="D89" s="27" t="s">
        <v>4</v>
      </c>
      <c r="E89" s="28">
        <v>500000</v>
      </c>
      <c r="F89" s="27"/>
      <c r="G89" s="27"/>
      <c r="H89" s="29" t="s">
        <v>6</v>
      </c>
      <c r="I89" s="27" t="s">
        <v>7</v>
      </c>
      <c r="J89" s="27" t="s">
        <v>8</v>
      </c>
      <c r="K89" s="27" t="s">
        <v>8</v>
      </c>
      <c r="L89" s="27" t="s">
        <v>8</v>
      </c>
    </row>
    <row r="90" spans="1:72" ht="63" x14ac:dyDescent="0.2">
      <c r="A90" s="26">
        <v>339</v>
      </c>
      <c r="B90" s="27" t="s">
        <v>2</v>
      </c>
      <c r="C90" s="27" t="s">
        <v>103</v>
      </c>
      <c r="D90" s="27" t="s">
        <v>11</v>
      </c>
      <c r="E90" s="28">
        <v>100000</v>
      </c>
      <c r="F90" s="27" t="s">
        <v>11</v>
      </c>
      <c r="G90" s="28">
        <v>200000</v>
      </c>
      <c r="H90" s="29" t="s">
        <v>6</v>
      </c>
      <c r="I90" s="27" t="s">
        <v>7</v>
      </c>
      <c r="J90" s="27" t="s">
        <v>8</v>
      </c>
      <c r="K90" s="27" t="s">
        <v>8</v>
      </c>
      <c r="L90" s="27" t="s">
        <v>7</v>
      </c>
      <c r="R90">
        <v>1796.9780000000001</v>
      </c>
      <c r="AE90">
        <v>1</v>
      </c>
      <c r="BE90">
        <v>1</v>
      </c>
      <c r="BH90">
        <v>1</v>
      </c>
      <c r="BJ90">
        <v>1</v>
      </c>
      <c r="BK90">
        <v>1</v>
      </c>
      <c r="BL90">
        <v>1</v>
      </c>
      <c r="BM90">
        <v>1</v>
      </c>
      <c r="BR90">
        <v>1</v>
      </c>
      <c r="BS90">
        <v>1</v>
      </c>
    </row>
    <row r="91" spans="1:72" ht="63" x14ac:dyDescent="0.2">
      <c r="A91" s="26">
        <v>342</v>
      </c>
      <c r="B91" s="27" t="s">
        <v>70</v>
      </c>
      <c r="C91" s="27" t="s">
        <v>104</v>
      </c>
      <c r="D91" s="27" t="s">
        <v>11</v>
      </c>
      <c r="E91" s="28">
        <v>100000</v>
      </c>
      <c r="F91" s="27" t="s">
        <v>11</v>
      </c>
      <c r="G91" s="28">
        <v>200000</v>
      </c>
      <c r="H91" s="29" t="s">
        <v>6</v>
      </c>
      <c r="I91" s="27" t="s">
        <v>7</v>
      </c>
      <c r="J91" s="27" t="s">
        <v>7</v>
      </c>
      <c r="K91" s="27" t="s">
        <v>8</v>
      </c>
      <c r="L91" s="27" t="s">
        <v>7</v>
      </c>
      <c r="P91">
        <f>1326.047+5435.296+10779.714+330.516+2059.964</f>
        <v>19931.537</v>
      </c>
      <c r="AK91">
        <v>1</v>
      </c>
      <c r="AL91">
        <v>1</v>
      </c>
      <c r="AM91">
        <v>1</v>
      </c>
      <c r="BG91">
        <v>1</v>
      </c>
      <c r="BH91">
        <v>1</v>
      </c>
      <c r="BJ91">
        <v>1</v>
      </c>
      <c r="BR91">
        <v>1</v>
      </c>
    </row>
    <row r="92" spans="1:72" ht="63" x14ac:dyDescent="0.2">
      <c r="A92" s="26">
        <v>343</v>
      </c>
      <c r="B92" s="27" t="s">
        <v>2</v>
      </c>
      <c r="C92" s="27" t="s">
        <v>57</v>
      </c>
      <c r="D92" s="27" t="s">
        <v>11</v>
      </c>
      <c r="E92" s="28">
        <v>100000</v>
      </c>
      <c r="F92" s="27" t="s">
        <v>4</v>
      </c>
      <c r="G92" s="28">
        <v>2500000</v>
      </c>
      <c r="H92" s="29" t="s">
        <v>6</v>
      </c>
      <c r="I92" s="27" t="s">
        <v>7</v>
      </c>
      <c r="J92" s="27" t="s">
        <v>8</v>
      </c>
      <c r="K92" s="27" t="s">
        <v>8</v>
      </c>
      <c r="L92" s="27" t="s">
        <v>7</v>
      </c>
      <c r="N92">
        <f>9548</f>
        <v>9548</v>
      </c>
      <c r="AC92">
        <v>1</v>
      </c>
      <c r="AD92">
        <v>1</v>
      </c>
      <c r="AE92">
        <v>1</v>
      </c>
      <c r="AG92">
        <v>1</v>
      </c>
      <c r="BG92">
        <v>1</v>
      </c>
      <c r="BS92">
        <v>1</v>
      </c>
    </row>
    <row r="93" spans="1:72" ht="63" x14ac:dyDescent="0.2">
      <c r="A93" s="26">
        <v>344</v>
      </c>
      <c r="B93" s="27" t="s">
        <v>70</v>
      </c>
      <c r="C93" s="27" t="s">
        <v>105</v>
      </c>
      <c r="D93" s="27" t="s">
        <v>11</v>
      </c>
      <c r="E93" s="28">
        <v>100000</v>
      </c>
      <c r="F93" s="27"/>
      <c r="G93" s="27"/>
      <c r="H93" s="29" t="s">
        <v>6</v>
      </c>
      <c r="I93" s="27" t="s">
        <v>7</v>
      </c>
      <c r="J93" s="27" t="s">
        <v>8</v>
      </c>
      <c r="K93" s="27" t="s">
        <v>8</v>
      </c>
      <c r="L93" s="27" t="s">
        <v>8</v>
      </c>
    </row>
    <row r="94" spans="1:72" ht="63" x14ac:dyDescent="0.2">
      <c r="A94" s="26">
        <v>347</v>
      </c>
      <c r="B94" s="27" t="s">
        <v>2</v>
      </c>
      <c r="C94" s="27" t="s">
        <v>106</v>
      </c>
      <c r="D94" s="27" t="s">
        <v>11</v>
      </c>
      <c r="E94" s="28">
        <v>100000</v>
      </c>
      <c r="F94" s="27" t="s">
        <v>11</v>
      </c>
      <c r="G94" s="28">
        <v>200000</v>
      </c>
      <c r="H94" s="29" t="s">
        <v>6</v>
      </c>
      <c r="I94" s="27" t="s">
        <v>7</v>
      </c>
      <c r="J94" s="27" t="s">
        <v>8</v>
      </c>
      <c r="K94" s="27" t="s">
        <v>8</v>
      </c>
      <c r="L94" s="27" t="s">
        <v>7</v>
      </c>
      <c r="N94">
        <f>49.29+79.87+72+50</f>
        <v>251.16</v>
      </c>
      <c r="P94">
        <f>497.05+214.12+95.2+125.9+267.87+51.8+632.09+63.97+165.92+208.08+121.77+301.33+188.17</f>
        <v>2933.27</v>
      </c>
      <c r="V94">
        <v>1</v>
      </c>
      <c r="AE94">
        <v>1</v>
      </c>
      <c r="AF94">
        <v>1</v>
      </c>
      <c r="AK94">
        <v>1</v>
      </c>
      <c r="AL94">
        <v>1</v>
      </c>
      <c r="AM94">
        <v>1</v>
      </c>
      <c r="AO94">
        <v>1</v>
      </c>
      <c r="BG94">
        <v>1</v>
      </c>
      <c r="BJ94">
        <v>1</v>
      </c>
      <c r="BK94">
        <v>1</v>
      </c>
      <c r="BN94">
        <v>1</v>
      </c>
    </row>
    <row r="95" spans="1:72" ht="63" x14ac:dyDescent="0.2">
      <c r="A95" s="26">
        <v>350</v>
      </c>
      <c r="B95" s="27" t="s">
        <v>2</v>
      </c>
      <c r="C95" s="27" t="s">
        <v>107</v>
      </c>
      <c r="D95" s="27" t="s">
        <v>11</v>
      </c>
      <c r="E95" s="28">
        <v>100000</v>
      </c>
      <c r="F95" s="27" t="s">
        <v>11</v>
      </c>
      <c r="G95" s="28">
        <v>200000</v>
      </c>
      <c r="H95" s="29" t="s">
        <v>6</v>
      </c>
      <c r="I95" s="27" t="s">
        <v>7</v>
      </c>
      <c r="J95" s="27" t="s">
        <v>7</v>
      </c>
      <c r="K95" s="27" t="s">
        <v>8</v>
      </c>
      <c r="L95" s="27" t="s">
        <v>7</v>
      </c>
    </row>
    <row r="96" spans="1:72" ht="63" x14ac:dyDescent="0.2">
      <c r="A96" s="26">
        <v>352</v>
      </c>
      <c r="B96" s="27" t="s">
        <v>2</v>
      </c>
      <c r="C96" s="27" t="s">
        <v>108</v>
      </c>
      <c r="D96" s="27" t="s">
        <v>5</v>
      </c>
      <c r="E96" s="28">
        <v>1500000</v>
      </c>
      <c r="F96" s="27" t="s">
        <v>81</v>
      </c>
      <c r="G96" s="28">
        <v>7000000</v>
      </c>
      <c r="H96" s="29" t="s">
        <v>6</v>
      </c>
      <c r="I96" s="27" t="s">
        <v>7</v>
      </c>
      <c r="J96" s="27" t="s">
        <v>7</v>
      </c>
      <c r="K96" s="27" t="s">
        <v>8</v>
      </c>
      <c r="L96" s="27" t="s">
        <v>7</v>
      </c>
      <c r="P96">
        <f>12806.498</f>
        <v>12806.498</v>
      </c>
      <c r="S96">
        <f>521795.191+655286.184</f>
        <v>1177081.375</v>
      </c>
      <c r="U96">
        <v>1</v>
      </c>
      <c r="V96">
        <v>2</v>
      </c>
      <c r="Y96">
        <v>1</v>
      </c>
      <c r="AA96">
        <v>1</v>
      </c>
      <c r="AU96">
        <v>1</v>
      </c>
      <c r="AV96">
        <v>1</v>
      </c>
      <c r="AZ96">
        <v>1</v>
      </c>
      <c r="BF96">
        <v>1</v>
      </c>
      <c r="BR96">
        <v>1</v>
      </c>
    </row>
    <row r="97" spans="1:72" ht="63" x14ac:dyDescent="0.2">
      <c r="A97" s="26">
        <v>355</v>
      </c>
      <c r="B97" s="27" t="s">
        <v>2</v>
      </c>
      <c r="C97" s="27" t="s">
        <v>109</v>
      </c>
      <c r="D97" s="27" t="s">
        <v>11</v>
      </c>
      <c r="E97" s="28">
        <v>100000</v>
      </c>
      <c r="F97" s="27"/>
      <c r="G97" s="27"/>
      <c r="H97" s="29" t="s">
        <v>6</v>
      </c>
      <c r="I97" s="27" t="s">
        <v>7</v>
      </c>
      <c r="J97" s="27" t="s">
        <v>8</v>
      </c>
      <c r="K97" s="27" t="s">
        <v>8</v>
      </c>
      <c r="L97" s="27" t="s">
        <v>8</v>
      </c>
      <c r="BF97">
        <v>1</v>
      </c>
      <c r="BJ97">
        <v>1</v>
      </c>
      <c r="BR97">
        <v>1</v>
      </c>
    </row>
    <row r="98" spans="1:72" ht="63" x14ac:dyDescent="0.2">
      <c r="A98" s="26">
        <v>357</v>
      </c>
      <c r="B98" s="27" t="s">
        <v>2</v>
      </c>
      <c r="C98" s="27" t="s">
        <v>110</v>
      </c>
      <c r="D98" s="27" t="s">
        <v>4</v>
      </c>
      <c r="E98" s="28">
        <v>500000</v>
      </c>
      <c r="F98" s="27" t="s">
        <v>4</v>
      </c>
      <c r="G98" s="28">
        <v>2500000</v>
      </c>
      <c r="H98" s="29" t="s">
        <v>6</v>
      </c>
      <c r="I98" s="27" t="s">
        <v>7</v>
      </c>
      <c r="J98" s="27" t="s">
        <v>8</v>
      </c>
      <c r="K98" s="27" t="s">
        <v>8</v>
      </c>
      <c r="L98" s="27" t="s">
        <v>7</v>
      </c>
      <c r="N98">
        <f>68624.2266</f>
        <v>68624.226599999995</v>
      </c>
      <c r="U98">
        <v>1</v>
      </c>
      <c r="V98">
        <v>1</v>
      </c>
      <c r="W98">
        <v>1</v>
      </c>
      <c r="Y98">
        <v>1</v>
      </c>
      <c r="Z98">
        <v>1</v>
      </c>
      <c r="AA98">
        <v>1</v>
      </c>
      <c r="AB98">
        <v>1</v>
      </c>
      <c r="AC98">
        <v>1</v>
      </c>
      <c r="AD98">
        <v>1</v>
      </c>
      <c r="AE98">
        <v>1</v>
      </c>
      <c r="AF98">
        <v>1</v>
      </c>
      <c r="AG98">
        <v>1</v>
      </c>
      <c r="AH98">
        <v>1</v>
      </c>
      <c r="AI98">
        <v>1</v>
      </c>
      <c r="AJ98">
        <v>1</v>
      </c>
      <c r="AK98">
        <v>1</v>
      </c>
      <c r="AL98">
        <v>1</v>
      </c>
      <c r="AM98">
        <v>1</v>
      </c>
      <c r="AN98">
        <v>1</v>
      </c>
      <c r="AO98">
        <v>1</v>
      </c>
      <c r="AP98">
        <v>1</v>
      </c>
      <c r="BB98">
        <v>1</v>
      </c>
      <c r="BE98">
        <v>1</v>
      </c>
      <c r="BF98">
        <v>1</v>
      </c>
      <c r="BG98">
        <v>1</v>
      </c>
      <c r="BL98">
        <v>1</v>
      </c>
      <c r="BR98">
        <v>1</v>
      </c>
    </row>
    <row r="99" spans="1:72" ht="63" x14ac:dyDescent="0.2">
      <c r="A99" s="26">
        <v>358</v>
      </c>
      <c r="B99" s="27" t="s">
        <v>2</v>
      </c>
      <c r="C99" s="27" t="s">
        <v>111</v>
      </c>
      <c r="D99" s="27" t="s">
        <v>5</v>
      </c>
      <c r="E99" s="28">
        <v>1500000</v>
      </c>
      <c r="F99" s="27"/>
      <c r="G99" s="27"/>
      <c r="H99" s="29" t="s">
        <v>6</v>
      </c>
      <c r="I99" s="27" t="s">
        <v>7</v>
      </c>
      <c r="J99" s="27" t="s">
        <v>8</v>
      </c>
      <c r="K99" s="27" t="s">
        <v>8</v>
      </c>
      <c r="L99" s="27" t="s">
        <v>8</v>
      </c>
      <c r="N99">
        <f>8949.7</f>
        <v>8949.7000000000007</v>
      </c>
      <c r="U99">
        <v>1</v>
      </c>
      <c r="V99">
        <v>1</v>
      </c>
      <c r="Z99">
        <v>1</v>
      </c>
      <c r="AA99">
        <v>1</v>
      </c>
      <c r="AB99">
        <v>1</v>
      </c>
      <c r="AC99">
        <v>1</v>
      </c>
      <c r="AE99">
        <v>1</v>
      </c>
      <c r="AF99">
        <v>1</v>
      </c>
      <c r="AG99">
        <v>1</v>
      </c>
      <c r="AH99">
        <v>1</v>
      </c>
      <c r="AI99">
        <v>1</v>
      </c>
      <c r="BB99">
        <v>1</v>
      </c>
      <c r="BG99">
        <v>1</v>
      </c>
      <c r="BH99">
        <v>1</v>
      </c>
      <c r="BL99">
        <v>1</v>
      </c>
      <c r="BR99">
        <v>1</v>
      </c>
    </row>
    <row r="100" spans="1:72" ht="63" x14ac:dyDescent="0.2">
      <c r="A100" s="26">
        <v>359</v>
      </c>
      <c r="B100" s="27" t="s">
        <v>2</v>
      </c>
      <c r="C100" s="27" t="s">
        <v>112</v>
      </c>
      <c r="D100" s="27" t="s">
        <v>11</v>
      </c>
      <c r="E100" s="28">
        <v>100000</v>
      </c>
      <c r="F100" s="27" t="s">
        <v>11</v>
      </c>
      <c r="G100" s="28">
        <v>200000</v>
      </c>
      <c r="H100" s="29" t="s">
        <v>6</v>
      </c>
      <c r="I100" s="27" t="s">
        <v>7</v>
      </c>
      <c r="J100" s="27" t="s">
        <v>8</v>
      </c>
      <c r="K100" s="27" t="s">
        <v>8</v>
      </c>
      <c r="L100" s="27" t="s">
        <v>7</v>
      </c>
    </row>
    <row r="101" spans="1:72" ht="63" x14ac:dyDescent="0.2">
      <c r="A101" s="26">
        <v>360</v>
      </c>
      <c r="B101" s="27" t="s">
        <v>70</v>
      </c>
      <c r="C101" s="27" t="s">
        <v>113</v>
      </c>
      <c r="D101" s="27" t="s">
        <v>11</v>
      </c>
      <c r="E101" s="28">
        <v>100000</v>
      </c>
      <c r="F101" s="27"/>
      <c r="G101" s="27"/>
      <c r="H101" s="29" t="s">
        <v>6</v>
      </c>
      <c r="I101" s="27" t="s">
        <v>7</v>
      </c>
      <c r="J101" s="27" t="s">
        <v>7</v>
      </c>
      <c r="K101" s="27" t="s">
        <v>8</v>
      </c>
      <c r="L101" s="27" t="s">
        <v>8</v>
      </c>
    </row>
    <row r="102" spans="1:72" ht="63" x14ac:dyDescent="0.2">
      <c r="A102" s="26">
        <v>361</v>
      </c>
      <c r="B102" s="27" t="s">
        <v>2</v>
      </c>
      <c r="C102" s="27" t="s">
        <v>114</v>
      </c>
      <c r="D102" s="27" t="s">
        <v>11</v>
      </c>
      <c r="E102" s="28">
        <v>100000</v>
      </c>
      <c r="F102" s="27" t="s">
        <v>11</v>
      </c>
      <c r="G102" s="28">
        <v>200000</v>
      </c>
      <c r="H102" s="29" t="s">
        <v>6</v>
      </c>
      <c r="I102" s="27" t="s">
        <v>7</v>
      </c>
      <c r="J102" s="27" t="s">
        <v>8</v>
      </c>
      <c r="K102" s="27" t="s">
        <v>8</v>
      </c>
      <c r="L102" s="27" t="s">
        <v>7</v>
      </c>
    </row>
    <row r="103" spans="1:72" ht="63" x14ac:dyDescent="0.2">
      <c r="A103" s="26">
        <v>363</v>
      </c>
      <c r="B103" s="27" t="s">
        <v>70</v>
      </c>
      <c r="C103" s="27" t="s">
        <v>115</v>
      </c>
      <c r="D103" s="27" t="s">
        <v>4</v>
      </c>
      <c r="E103" s="28">
        <v>500000</v>
      </c>
      <c r="F103" s="27"/>
      <c r="G103" s="27"/>
      <c r="H103" s="29" t="s">
        <v>6</v>
      </c>
      <c r="I103" s="27" t="s">
        <v>7</v>
      </c>
      <c r="J103" s="27" t="s">
        <v>7</v>
      </c>
      <c r="K103" s="27" t="s">
        <v>8</v>
      </c>
      <c r="L103" s="27" t="s">
        <v>8</v>
      </c>
    </row>
    <row r="104" spans="1:72" ht="78.75" x14ac:dyDescent="0.2">
      <c r="A104" s="26">
        <v>367</v>
      </c>
      <c r="B104" s="27" t="s">
        <v>2</v>
      </c>
      <c r="C104" s="27" t="s">
        <v>116</v>
      </c>
      <c r="D104" s="27" t="s">
        <v>5</v>
      </c>
      <c r="E104" s="28">
        <v>1500000</v>
      </c>
      <c r="F104" s="27" t="s">
        <v>11</v>
      </c>
      <c r="G104" s="28">
        <v>200000</v>
      </c>
      <c r="H104" s="29" t="s">
        <v>6</v>
      </c>
      <c r="I104" s="27" t="s">
        <v>7</v>
      </c>
      <c r="J104" s="27" t="s">
        <v>8</v>
      </c>
      <c r="K104" s="27" t="s">
        <v>8</v>
      </c>
      <c r="L104" s="27" t="s">
        <v>7</v>
      </c>
    </row>
    <row r="105" spans="1:72" ht="63" x14ac:dyDescent="0.2">
      <c r="A105" s="26">
        <v>368</v>
      </c>
      <c r="B105" s="27" t="s">
        <v>2</v>
      </c>
      <c r="C105" s="27" t="s">
        <v>117</v>
      </c>
      <c r="D105" s="27" t="s">
        <v>11</v>
      </c>
      <c r="E105" s="28">
        <v>100000</v>
      </c>
      <c r="F105" s="27" t="s">
        <v>11</v>
      </c>
      <c r="G105" s="28">
        <v>200000</v>
      </c>
      <c r="H105" s="29" t="s">
        <v>6</v>
      </c>
      <c r="I105" s="27" t="s">
        <v>7</v>
      </c>
      <c r="J105" s="27" t="s">
        <v>8</v>
      </c>
      <c r="K105" s="27" t="s">
        <v>8</v>
      </c>
      <c r="L105" s="27" t="s">
        <v>7</v>
      </c>
    </row>
    <row r="106" spans="1:72" ht="63" x14ac:dyDescent="0.2">
      <c r="A106" s="26">
        <v>369</v>
      </c>
      <c r="B106" s="27" t="s">
        <v>118</v>
      </c>
      <c r="C106" s="27" t="s">
        <v>119</v>
      </c>
      <c r="D106" s="27" t="s">
        <v>11</v>
      </c>
      <c r="E106" s="28">
        <v>100000</v>
      </c>
      <c r="F106" s="27"/>
      <c r="G106" s="27"/>
      <c r="H106" s="29" t="s">
        <v>6</v>
      </c>
      <c r="I106" s="27" t="s">
        <v>7</v>
      </c>
      <c r="J106" s="27" t="s">
        <v>8</v>
      </c>
      <c r="K106" s="27" t="s">
        <v>8</v>
      </c>
      <c r="L106" s="27" t="s">
        <v>8</v>
      </c>
      <c r="P106">
        <f>35969.94</f>
        <v>35969.94</v>
      </c>
      <c r="BD106">
        <v>1</v>
      </c>
      <c r="BE106">
        <v>1</v>
      </c>
      <c r="BF106">
        <v>1</v>
      </c>
      <c r="BJ106">
        <v>1</v>
      </c>
      <c r="BT106">
        <v>1</v>
      </c>
    </row>
    <row r="107" spans="1:72" ht="63" x14ac:dyDescent="0.2">
      <c r="A107" s="26">
        <v>371</v>
      </c>
      <c r="B107" s="27" t="s">
        <v>2</v>
      </c>
      <c r="C107" s="27" t="s">
        <v>120</v>
      </c>
      <c r="D107" s="27" t="s">
        <v>5</v>
      </c>
      <c r="E107" s="28">
        <v>1500000</v>
      </c>
      <c r="F107" s="27" t="s">
        <v>11</v>
      </c>
      <c r="G107" s="28">
        <v>200000</v>
      </c>
      <c r="H107" s="29" t="s">
        <v>6</v>
      </c>
      <c r="I107" s="27" t="s">
        <v>7</v>
      </c>
      <c r="J107" s="27" t="s">
        <v>8</v>
      </c>
      <c r="K107" s="27" t="s">
        <v>8</v>
      </c>
      <c r="L107" s="27" t="s">
        <v>7</v>
      </c>
      <c r="P107">
        <f>6216.36+5925.67+5646.31+6184.47+5811.44+28511.62+70313.04+65325.48</f>
        <v>193934.38999999998</v>
      </c>
      <c r="U107">
        <v>1</v>
      </c>
      <c r="Y107">
        <v>1</v>
      </c>
      <c r="Z107">
        <v>1</v>
      </c>
      <c r="AA107">
        <v>1</v>
      </c>
      <c r="AB107">
        <v>1</v>
      </c>
      <c r="AC107">
        <v>1</v>
      </c>
      <c r="AD107">
        <v>1</v>
      </c>
      <c r="AE107">
        <v>1</v>
      </c>
      <c r="AF107">
        <v>1</v>
      </c>
      <c r="AG107">
        <v>1</v>
      </c>
      <c r="AH107">
        <v>1</v>
      </c>
      <c r="AI107">
        <v>1</v>
      </c>
      <c r="AL107">
        <v>1</v>
      </c>
      <c r="AM107">
        <v>1</v>
      </c>
      <c r="BG107">
        <v>1</v>
      </c>
      <c r="BH107">
        <v>1</v>
      </c>
      <c r="BR107">
        <v>1</v>
      </c>
      <c r="BS107">
        <v>1</v>
      </c>
    </row>
    <row r="108" spans="1:72" ht="63" x14ac:dyDescent="0.2">
      <c r="A108" s="26">
        <v>372</v>
      </c>
      <c r="B108" s="27" t="s">
        <v>2</v>
      </c>
      <c r="C108" s="27" t="s">
        <v>121</v>
      </c>
      <c r="D108" s="27" t="s">
        <v>4</v>
      </c>
      <c r="E108" s="28">
        <v>500000</v>
      </c>
      <c r="F108" s="27" t="s">
        <v>5</v>
      </c>
      <c r="G108" s="28">
        <v>4500000</v>
      </c>
      <c r="H108" s="29" t="s">
        <v>6</v>
      </c>
      <c r="I108" s="27" t="s">
        <v>7</v>
      </c>
      <c r="J108" s="27" t="s">
        <v>7</v>
      </c>
      <c r="K108" s="27" t="s">
        <v>8</v>
      </c>
      <c r="L108" s="27" t="s">
        <v>7</v>
      </c>
      <c r="N108">
        <f>3412.62+46635.83+52888.32+22723.28+10526.83+935.36+5601.57+5068.52+3012.48+32784.75</f>
        <v>183589.56</v>
      </c>
      <c r="O108">
        <f>36490.77+52197.36+3693.36</f>
        <v>92381.49</v>
      </c>
      <c r="V108">
        <v>1</v>
      </c>
      <c r="Z108">
        <v>1</v>
      </c>
      <c r="AL108">
        <v>1</v>
      </c>
      <c r="AM108">
        <v>1</v>
      </c>
      <c r="BH108">
        <v>1</v>
      </c>
      <c r="BO108">
        <v>1</v>
      </c>
      <c r="BP108">
        <v>1</v>
      </c>
    </row>
    <row r="109" spans="1:72" ht="63" x14ac:dyDescent="0.2">
      <c r="A109" s="26">
        <v>373</v>
      </c>
      <c r="B109" s="27" t="s">
        <v>122</v>
      </c>
      <c r="C109" s="27" t="s">
        <v>123</v>
      </c>
      <c r="D109" s="27" t="s">
        <v>11</v>
      </c>
      <c r="E109" s="28">
        <v>100000</v>
      </c>
      <c r="F109" s="27"/>
      <c r="G109" s="27"/>
      <c r="H109" s="29" t="s">
        <v>6</v>
      </c>
      <c r="I109" s="27" t="s">
        <v>7</v>
      </c>
      <c r="J109" s="27" t="s">
        <v>8</v>
      </c>
      <c r="K109" s="27" t="s">
        <v>8</v>
      </c>
      <c r="L109" s="27" t="s">
        <v>8</v>
      </c>
    </row>
    <row r="110" spans="1:72" ht="63" x14ac:dyDescent="0.2">
      <c r="A110" s="26">
        <v>375</v>
      </c>
      <c r="B110" s="27" t="s">
        <v>2</v>
      </c>
      <c r="C110" s="27" t="s">
        <v>124</v>
      </c>
      <c r="D110" s="27" t="s">
        <v>4</v>
      </c>
      <c r="E110" s="28">
        <v>500000</v>
      </c>
      <c r="F110" s="27" t="s">
        <v>11</v>
      </c>
      <c r="G110" s="28">
        <v>200000</v>
      </c>
      <c r="H110" s="29" t="s">
        <v>6</v>
      </c>
      <c r="I110" s="27" t="s">
        <v>7</v>
      </c>
      <c r="J110" s="27" t="s">
        <v>7</v>
      </c>
      <c r="K110" s="27" t="s">
        <v>8</v>
      </c>
      <c r="L110" s="27" t="s">
        <v>7</v>
      </c>
      <c r="N110">
        <f>91383.07222+126172.11208+97680.22829+68763.03873+5717.6+1830+3419.52+42088.641+4665.45323+602.4425+4339.1+1116.15+6874.24+15161.39</f>
        <v>469812.98804999999</v>
      </c>
      <c r="U110">
        <v>1</v>
      </c>
      <c r="V110">
        <v>1</v>
      </c>
      <c r="Y110">
        <v>1</v>
      </c>
      <c r="Z110">
        <v>1</v>
      </c>
      <c r="AK110">
        <v>1</v>
      </c>
      <c r="AL110">
        <v>1</v>
      </c>
      <c r="AO110">
        <v>1</v>
      </c>
      <c r="AP110">
        <v>1</v>
      </c>
      <c r="AS110">
        <v>1</v>
      </c>
      <c r="AU110">
        <v>1</v>
      </c>
      <c r="BB110">
        <v>1</v>
      </c>
      <c r="BG110">
        <v>1</v>
      </c>
      <c r="BH110">
        <v>1</v>
      </c>
      <c r="BL110">
        <v>1</v>
      </c>
      <c r="BM110">
        <v>1</v>
      </c>
      <c r="BR110">
        <v>1</v>
      </c>
      <c r="BS110">
        <v>1</v>
      </c>
    </row>
    <row r="111" spans="1:72" ht="63" x14ac:dyDescent="0.2">
      <c r="A111" s="26">
        <v>378</v>
      </c>
      <c r="B111" s="27" t="s">
        <v>2</v>
      </c>
      <c r="C111" s="27" t="s">
        <v>125</v>
      </c>
      <c r="D111" s="27" t="s">
        <v>11</v>
      </c>
      <c r="E111" s="28">
        <v>100000</v>
      </c>
      <c r="F111" s="27" t="s">
        <v>11</v>
      </c>
      <c r="G111" s="28">
        <v>200000</v>
      </c>
      <c r="H111" s="29" t="s">
        <v>6</v>
      </c>
      <c r="I111" s="27" t="s">
        <v>7</v>
      </c>
      <c r="J111" s="27" t="s">
        <v>8</v>
      </c>
      <c r="K111" s="27" t="s">
        <v>8</v>
      </c>
      <c r="L111" s="27" t="s">
        <v>7</v>
      </c>
      <c r="P111">
        <f>55163.813</f>
        <v>55163.813000000002</v>
      </c>
      <c r="V111">
        <v>1</v>
      </c>
      <c r="Z111">
        <v>1</v>
      </c>
      <c r="AA111">
        <v>1</v>
      </c>
      <c r="AR111">
        <v>1</v>
      </c>
      <c r="AS111">
        <v>1</v>
      </c>
      <c r="AY111">
        <v>1</v>
      </c>
      <c r="BG111">
        <v>1</v>
      </c>
      <c r="BJ111">
        <v>1</v>
      </c>
      <c r="BK111">
        <v>1</v>
      </c>
      <c r="BP111">
        <v>1</v>
      </c>
    </row>
    <row r="112" spans="1:72" ht="63" x14ac:dyDescent="0.2">
      <c r="A112" s="26">
        <v>381</v>
      </c>
      <c r="B112" s="27" t="s">
        <v>2</v>
      </c>
      <c r="C112" s="27" t="s">
        <v>126</v>
      </c>
      <c r="D112" s="27" t="s">
        <v>11</v>
      </c>
      <c r="E112" s="28">
        <v>100000</v>
      </c>
      <c r="F112" s="27" t="s">
        <v>11</v>
      </c>
      <c r="G112" s="28">
        <v>200000</v>
      </c>
      <c r="H112" s="29" t="s">
        <v>6</v>
      </c>
      <c r="I112" s="27" t="s">
        <v>7</v>
      </c>
      <c r="J112" s="27" t="s">
        <v>8</v>
      </c>
      <c r="K112" s="27" t="s">
        <v>8</v>
      </c>
      <c r="L112" s="27" t="s">
        <v>7</v>
      </c>
    </row>
    <row r="113" spans="1:72" ht="63" x14ac:dyDescent="0.2">
      <c r="A113" s="26">
        <v>384</v>
      </c>
      <c r="B113" s="27" t="s">
        <v>2</v>
      </c>
      <c r="C113" s="27" t="s">
        <v>127</v>
      </c>
      <c r="D113" s="27" t="s">
        <v>78</v>
      </c>
      <c r="E113" s="28">
        <v>5000000</v>
      </c>
      <c r="F113" s="27" t="s">
        <v>78</v>
      </c>
      <c r="G113" s="28">
        <v>25000000</v>
      </c>
      <c r="H113" s="29" t="s">
        <v>6</v>
      </c>
      <c r="I113" s="27" t="s">
        <v>7</v>
      </c>
      <c r="J113" s="27" t="s">
        <v>7</v>
      </c>
      <c r="K113" s="27" t="s">
        <v>8</v>
      </c>
      <c r="L113" s="27" t="s">
        <v>7</v>
      </c>
      <c r="N113">
        <f>585666+506409+6649+12972+59858+508743+4697421+6893253+9521323+174638+4529+6922355+3282044+124998+358+19197+29101</f>
        <v>33349514</v>
      </c>
      <c r="P113">
        <f>26090</f>
        <v>26090</v>
      </c>
      <c r="Q113">
        <f>1604478+317020+63133</f>
        <v>1984631</v>
      </c>
      <c r="U113">
        <v>1</v>
      </c>
      <c r="V113">
        <v>1</v>
      </c>
      <c r="W113">
        <v>1</v>
      </c>
      <c r="Y113">
        <v>1</v>
      </c>
      <c r="Z113">
        <v>1</v>
      </c>
      <c r="AA113">
        <v>1</v>
      </c>
      <c r="AB113">
        <v>1</v>
      </c>
      <c r="AC113">
        <v>1</v>
      </c>
      <c r="AD113">
        <v>1</v>
      </c>
      <c r="AE113">
        <v>1</v>
      </c>
      <c r="AG113">
        <v>1</v>
      </c>
      <c r="AI113">
        <v>1</v>
      </c>
      <c r="AJ113">
        <v>1</v>
      </c>
      <c r="AK113">
        <v>1</v>
      </c>
      <c r="AL113">
        <v>1</v>
      </c>
      <c r="AM113">
        <v>1</v>
      </c>
      <c r="AQ113">
        <v>1</v>
      </c>
      <c r="AU113">
        <v>1</v>
      </c>
      <c r="AV113">
        <v>1</v>
      </c>
      <c r="BB113">
        <v>1</v>
      </c>
      <c r="BG113">
        <v>1</v>
      </c>
      <c r="BR113">
        <v>1</v>
      </c>
    </row>
    <row r="114" spans="1:72" ht="63" x14ac:dyDescent="0.2">
      <c r="A114" s="26">
        <v>387</v>
      </c>
      <c r="B114" s="27" t="s">
        <v>2</v>
      </c>
      <c r="C114" s="27" t="s">
        <v>128</v>
      </c>
      <c r="D114" s="27" t="s">
        <v>11</v>
      </c>
      <c r="E114" s="28">
        <v>100000</v>
      </c>
      <c r="F114" s="27" t="s">
        <v>11</v>
      </c>
      <c r="G114" s="28">
        <v>200000</v>
      </c>
      <c r="H114" s="29" t="s">
        <v>6</v>
      </c>
      <c r="I114" s="27" t="s">
        <v>7</v>
      </c>
      <c r="J114" s="27" t="s">
        <v>8</v>
      </c>
      <c r="K114" s="27" t="s">
        <v>8</v>
      </c>
      <c r="L114" s="27" t="s">
        <v>7</v>
      </c>
      <c r="P114">
        <f>5143.69444+1024.94</f>
        <v>6168.6344399999998</v>
      </c>
      <c r="U114">
        <v>1</v>
      </c>
      <c r="V114">
        <v>1</v>
      </c>
      <c r="AP114">
        <v>1</v>
      </c>
      <c r="BB114">
        <v>1</v>
      </c>
      <c r="BE114">
        <v>1</v>
      </c>
      <c r="BG114">
        <v>1</v>
      </c>
      <c r="BH114">
        <v>1</v>
      </c>
      <c r="BJ114">
        <v>1</v>
      </c>
      <c r="BL114">
        <v>1</v>
      </c>
      <c r="BM114">
        <v>1</v>
      </c>
      <c r="BN114">
        <v>1</v>
      </c>
      <c r="BP114">
        <v>1</v>
      </c>
      <c r="BR114">
        <v>1</v>
      </c>
      <c r="BS114">
        <v>1</v>
      </c>
    </row>
    <row r="115" spans="1:72" ht="63" x14ac:dyDescent="0.2">
      <c r="A115" s="26">
        <v>388</v>
      </c>
      <c r="B115" s="27" t="s">
        <v>2</v>
      </c>
      <c r="C115" s="27" t="s">
        <v>129</v>
      </c>
      <c r="D115" s="27" t="s">
        <v>11</v>
      </c>
      <c r="E115" s="28">
        <v>100000</v>
      </c>
      <c r="F115" s="27"/>
      <c r="G115" s="27"/>
      <c r="H115" s="29" t="s">
        <v>6</v>
      </c>
      <c r="I115" s="27" t="s">
        <v>7</v>
      </c>
      <c r="J115" s="27" t="s">
        <v>8</v>
      </c>
      <c r="K115" s="27" t="s">
        <v>8</v>
      </c>
      <c r="L115" s="27" t="s">
        <v>8</v>
      </c>
      <c r="P115">
        <f>67915+981+2880+348+2791+321+1561+659+67+9703+322</f>
        <v>87548</v>
      </c>
      <c r="Z115">
        <v>6</v>
      </c>
      <c r="AT115">
        <v>1</v>
      </c>
      <c r="BJ115">
        <v>1</v>
      </c>
      <c r="BT115">
        <v>1</v>
      </c>
    </row>
    <row r="116" spans="1:72" ht="63" x14ac:dyDescent="0.2">
      <c r="A116" s="26">
        <v>390</v>
      </c>
      <c r="B116" s="27" t="s">
        <v>122</v>
      </c>
      <c r="C116" s="27" t="s">
        <v>130</v>
      </c>
      <c r="D116" s="27" t="s">
        <v>4</v>
      </c>
      <c r="E116" s="28">
        <v>500000</v>
      </c>
      <c r="F116" s="27" t="s">
        <v>4</v>
      </c>
      <c r="G116" s="28">
        <v>2500000</v>
      </c>
      <c r="H116" s="29" t="s">
        <v>6</v>
      </c>
      <c r="I116" s="27" t="s">
        <v>7</v>
      </c>
      <c r="J116" s="27" t="s">
        <v>8</v>
      </c>
      <c r="K116" s="27" t="s">
        <v>8</v>
      </c>
      <c r="L116" s="27" t="s">
        <v>7</v>
      </c>
      <c r="P116">
        <f>29811.80633+47552.09665+49638.7349+16371.55827+15960.5156</f>
        <v>159334.71175000002</v>
      </c>
      <c r="AE116">
        <v>1</v>
      </c>
      <c r="AF116">
        <v>1</v>
      </c>
      <c r="AG116">
        <v>1</v>
      </c>
      <c r="AH116">
        <v>1</v>
      </c>
      <c r="AI116">
        <v>1</v>
      </c>
      <c r="AL116">
        <v>1</v>
      </c>
      <c r="BE116">
        <v>1</v>
      </c>
      <c r="BG116">
        <v>1</v>
      </c>
      <c r="BJ116">
        <v>1</v>
      </c>
      <c r="BL116">
        <v>1</v>
      </c>
      <c r="BM116">
        <v>1</v>
      </c>
      <c r="BR116">
        <v>1</v>
      </c>
      <c r="BS116">
        <v>1</v>
      </c>
    </row>
    <row r="117" spans="1:72" ht="63" x14ac:dyDescent="0.2">
      <c r="A117" s="26">
        <v>393</v>
      </c>
      <c r="B117" s="27" t="s">
        <v>2</v>
      </c>
      <c r="C117" s="27" t="s">
        <v>131</v>
      </c>
      <c r="D117" s="27" t="s">
        <v>4</v>
      </c>
      <c r="E117" s="28">
        <v>500000</v>
      </c>
      <c r="F117" s="27" t="s">
        <v>11</v>
      </c>
      <c r="G117" s="28">
        <v>200000</v>
      </c>
      <c r="H117" s="29" t="s">
        <v>6</v>
      </c>
      <c r="I117" s="27" t="s">
        <v>7</v>
      </c>
      <c r="J117" s="27" t="s">
        <v>7</v>
      </c>
      <c r="K117" s="27" t="s">
        <v>8</v>
      </c>
      <c r="L117" s="27" t="s">
        <v>7</v>
      </c>
      <c r="N117">
        <f>28961.87+33567.07</f>
        <v>62528.94</v>
      </c>
      <c r="O117">
        <f>17702.5</f>
        <v>17702.5</v>
      </c>
      <c r="S117">
        <f>30025.92+54991.36+33332.57+69650</f>
        <v>187999.85</v>
      </c>
      <c r="BE117">
        <v>1</v>
      </c>
      <c r="BF117">
        <v>1</v>
      </c>
      <c r="BG117">
        <v>1</v>
      </c>
      <c r="BJ117">
        <v>1</v>
      </c>
      <c r="BL117">
        <v>1</v>
      </c>
      <c r="BM117">
        <v>1</v>
      </c>
      <c r="BR117">
        <v>1</v>
      </c>
    </row>
    <row r="118" spans="1:72" ht="63" x14ac:dyDescent="0.2">
      <c r="A118" s="26">
        <v>394</v>
      </c>
      <c r="B118" s="27" t="s">
        <v>2</v>
      </c>
      <c r="C118" s="27" t="s">
        <v>132</v>
      </c>
      <c r="D118" s="27" t="s">
        <v>4</v>
      </c>
      <c r="E118" s="28">
        <v>500000</v>
      </c>
      <c r="F118" s="27" t="s">
        <v>5</v>
      </c>
      <c r="G118" s="28">
        <v>4500000</v>
      </c>
      <c r="H118" s="29" t="s">
        <v>6</v>
      </c>
      <c r="I118" s="27" t="s">
        <v>7</v>
      </c>
      <c r="J118" s="27" t="s">
        <v>8</v>
      </c>
      <c r="K118" s="27" t="s">
        <v>8</v>
      </c>
      <c r="L118" s="27" t="s">
        <v>7</v>
      </c>
      <c r="P118">
        <f>300.8+1999.9+11076.21+758.8+561.8+2067.9+2445.2+11524.9+706.6+1172.71+981.85+7515.5+16006.1+19536.8+11062.05+3791.7+4617.7+4011.3+2944.5+13507.81+4002+13601.2+24447.9+41104.7+6380+4738.9+3252.2+2104.2+33713.7+33910.8+33898.4+33648+45867.4+49367.4+10442.8+12331.7+1165.8+1404+1238.7+9105.21+11177+17373+4172.5+3812.1+5202.6</f>
        <v>524052.34</v>
      </c>
      <c r="AC118">
        <v>1</v>
      </c>
      <c r="AD118">
        <v>1</v>
      </c>
      <c r="AE118">
        <v>1</v>
      </c>
      <c r="AG118">
        <v>1</v>
      </c>
      <c r="AH118">
        <v>1</v>
      </c>
      <c r="BG118">
        <v>1</v>
      </c>
      <c r="BL118">
        <v>1</v>
      </c>
    </row>
    <row r="119" spans="1:72" ht="63" x14ac:dyDescent="0.2">
      <c r="A119" s="26">
        <v>395</v>
      </c>
      <c r="B119" s="27" t="s">
        <v>2</v>
      </c>
      <c r="C119" s="27" t="s">
        <v>133</v>
      </c>
      <c r="D119" s="27" t="s">
        <v>11</v>
      </c>
      <c r="E119" s="28">
        <v>100000</v>
      </c>
      <c r="F119" s="27"/>
      <c r="G119" s="27"/>
      <c r="H119" s="29" t="s">
        <v>6</v>
      </c>
      <c r="I119" s="27" t="s">
        <v>7</v>
      </c>
      <c r="J119" s="27" t="s">
        <v>8</v>
      </c>
      <c r="K119" s="27" t="s">
        <v>8</v>
      </c>
      <c r="L119" s="27" t="s">
        <v>8</v>
      </c>
      <c r="O119">
        <f>7382</f>
        <v>7382</v>
      </c>
      <c r="P119">
        <f>135541+17896+8158+1392</f>
        <v>162987</v>
      </c>
      <c r="U119">
        <v>1</v>
      </c>
      <c r="Z119">
        <v>1</v>
      </c>
      <c r="AE119">
        <v>1</v>
      </c>
      <c r="AF119">
        <v>1</v>
      </c>
      <c r="AG119">
        <v>1</v>
      </c>
      <c r="BB119">
        <v>1</v>
      </c>
      <c r="BJ119">
        <v>1</v>
      </c>
      <c r="BM119">
        <v>1</v>
      </c>
      <c r="BR119">
        <v>1</v>
      </c>
      <c r="BS119">
        <v>1</v>
      </c>
    </row>
    <row r="120" spans="1:72" ht="63" x14ac:dyDescent="0.2">
      <c r="A120" s="26">
        <v>396</v>
      </c>
      <c r="B120" s="27" t="s">
        <v>2</v>
      </c>
      <c r="C120" s="27" t="s">
        <v>134</v>
      </c>
      <c r="D120" s="27" t="s">
        <v>11</v>
      </c>
      <c r="E120" s="28">
        <v>100000</v>
      </c>
      <c r="F120" s="27" t="s">
        <v>11</v>
      </c>
      <c r="G120" s="28">
        <v>200000</v>
      </c>
      <c r="H120" s="29" t="s">
        <v>6</v>
      </c>
      <c r="I120" s="27" t="s">
        <v>7</v>
      </c>
      <c r="J120" s="27" t="s">
        <v>8</v>
      </c>
      <c r="K120" s="27" t="s">
        <v>8</v>
      </c>
      <c r="L120" s="27" t="s">
        <v>7</v>
      </c>
      <c r="N120">
        <f>8483+11280+1626</f>
        <v>21389</v>
      </c>
      <c r="P120">
        <f>1368+1615+747</f>
        <v>3730</v>
      </c>
      <c r="BK120">
        <v>1</v>
      </c>
      <c r="BT120">
        <v>1</v>
      </c>
    </row>
    <row r="121" spans="1:72" ht="63" x14ac:dyDescent="0.2">
      <c r="A121" s="26">
        <v>397</v>
      </c>
      <c r="B121" s="27" t="s">
        <v>2</v>
      </c>
      <c r="C121" s="27" t="s">
        <v>135</v>
      </c>
      <c r="D121" s="27" t="s">
        <v>11</v>
      </c>
      <c r="E121" s="28">
        <v>100000</v>
      </c>
      <c r="F121" s="27"/>
      <c r="G121" s="27"/>
      <c r="H121" s="29" t="s">
        <v>6</v>
      </c>
      <c r="I121" s="27" t="s">
        <v>7</v>
      </c>
      <c r="J121" s="27" t="s">
        <v>8</v>
      </c>
      <c r="K121" s="27" t="s">
        <v>8</v>
      </c>
      <c r="L121" s="27" t="s">
        <v>8</v>
      </c>
    </row>
    <row r="122" spans="1:72" ht="63" x14ac:dyDescent="0.2">
      <c r="A122" s="26">
        <v>398</v>
      </c>
      <c r="B122" s="27" t="s">
        <v>70</v>
      </c>
      <c r="C122" s="27" t="s">
        <v>136</v>
      </c>
      <c r="D122" s="27" t="s">
        <v>11</v>
      </c>
      <c r="E122" s="28">
        <v>100000</v>
      </c>
      <c r="F122" s="27"/>
      <c r="G122" s="27"/>
      <c r="H122" s="29" t="s">
        <v>6</v>
      </c>
      <c r="I122" s="27" t="s">
        <v>7</v>
      </c>
      <c r="J122" s="27" t="s">
        <v>8</v>
      </c>
      <c r="K122" s="27" t="s">
        <v>8</v>
      </c>
      <c r="L122" s="27" t="s">
        <v>8</v>
      </c>
    </row>
    <row r="123" spans="1:72" ht="63" x14ac:dyDescent="0.2">
      <c r="A123" s="26">
        <v>401</v>
      </c>
      <c r="B123" s="27" t="s">
        <v>2</v>
      </c>
      <c r="C123" s="27" t="s">
        <v>137</v>
      </c>
      <c r="D123" s="27" t="s">
        <v>11</v>
      </c>
      <c r="E123" s="28">
        <v>100000</v>
      </c>
      <c r="F123" s="27" t="s">
        <v>11</v>
      </c>
      <c r="G123" s="28">
        <v>200000</v>
      </c>
      <c r="H123" s="29" t="s">
        <v>6</v>
      </c>
      <c r="I123" s="27" t="s">
        <v>7</v>
      </c>
      <c r="J123" s="27" t="s">
        <v>8</v>
      </c>
      <c r="K123" s="27" t="s">
        <v>8</v>
      </c>
      <c r="L123" s="27" t="s">
        <v>7</v>
      </c>
    </row>
    <row r="124" spans="1:72" ht="63" x14ac:dyDescent="0.2">
      <c r="A124" s="26">
        <v>402</v>
      </c>
      <c r="B124" s="27" t="s">
        <v>2</v>
      </c>
      <c r="C124" s="27" t="s">
        <v>138</v>
      </c>
      <c r="D124" s="27" t="s">
        <v>11</v>
      </c>
      <c r="E124" s="28">
        <v>100000</v>
      </c>
      <c r="F124" s="27"/>
      <c r="G124" s="27"/>
      <c r="H124" s="29" t="s">
        <v>6</v>
      </c>
      <c r="I124" s="27" t="s">
        <v>7</v>
      </c>
      <c r="J124" s="27" t="s">
        <v>8</v>
      </c>
      <c r="K124" s="27" t="s">
        <v>8</v>
      </c>
      <c r="L124" s="27" t="s">
        <v>8</v>
      </c>
      <c r="N124">
        <f>116366</f>
        <v>116366</v>
      </c>
      <c r="V124">
        <v>1</v>
      </c>
      <c r="Z124">
        <v>1</v>
      </c>
      <c r="BE124">
        <v>1</v>
      </c>
      <c r="BS124">
        <v>1</v>
      </c>
    </row>
    <row r="125" spans="1:72" ht="63" x14ac:dyDescent="0.2">
      <c r="A125" s="26">
        <v>405</v>
      </c>
      <c r="B125" s="27" t="s">
        <v>2</v>
      </c>
      <c r="C125" s="27" t="s">
        <v>139</v>
      </c>
      <c r="D125" s="27" t="s">
        <v>11</v>
      </c>
      <c r="E125" s="28">
        <v>100000</v>
      </c>
      <c r="F125" s="27"/>
      <c r="G125" s="27"/>
      <c r="H125" s="29" t="s">
        <v>6</v>
      </c>
      <c r="I125" s="27" t="s">
        <v>7</v>
      </c>
      <c r="J125" s="27" t="s">
        <v>8</v>
      </c>
      <c r="K125" s="27" t="s">
        <v>8</v>
      </c>
      <c r="L125" s="27" t="s">
        <v>8</v>
      </c>
      <c r="Z125">
        <v>1</v>
      </c>
      <c r="AA125">
        <v>1</v>
      </c>
      <c r="AB125">
        <v>1</v>
      </c>
      <c r="AC125">
        <v>1</v>
      </c>
      <c r="AD125">
        <v>1</v>
      </c>
      <c r="AE125">
        <v>1</v>
      </c>
      <c r="AF125">
        <v>1</v>
      </c>
      <c r="AG125">
        <v>1</v>
      </c>
      <c r="AH125">
        <v>1</v>
      </c>
      <c r="AI125">
        <v>1</v>
      </c>
      <c r="AK125">
        <v>1</v>
      </c>
      <c r="AL125">
        <v>1</v>
      </c>
      <c r="AM125">
        <v>1</v>
      </c>
      <c r="AN125">
        <v>1</v>
      </c>
      <c r="AO125">
        <v>1</v>
      </c>
      <c r="AP125">
        <v>1</v>
      </c>
      <c r="AU125">
        <v>1</v>
      </c>
      <c r="AV125">
        <v>1</v>
      </c>
      <c r="BF125">
        <v>1</v>
      </c>
      <c r="BO125">
        <v>1</v>
      </c>
      <c r="BR125">
        <v>1</v>
      </c>
    </row>
    <row r="126" spans="1:72" ht="63" x14ac:dyDescent="0.2">
      <c r="A126" s="26">
        <v>409</v>
      </c>
      <c r="B126" s="27" t="s">
        <v>2</v>
      </c>
      <c r="C126" s="27" t="s">
        <v>140</v>
      </c>
      <c r="D126" s="27" t="s">
        <v>11</v>
      </c>
      <c r="E126" s="28">
        <v>100000</v>
      </c>
      <c r="F126" s="27"/>
      <c r="G126" s="27"/>
      <c r="H126" s="29" t="s">
        <v>6</v>
      </c>
      <c r="I126" s="27" t="s">
        <v>7</v>
      </c>
      <c r="J126" s="27" t="s">
        <v>7</v>
      </c>
      <c r="K126" s="27" t="s">
        <v>8</v>
      </c>
      <c r="L126" s="27" t="s">
        <v>8</v>
      </c>
      <c r="N126">
        <f>6563+2876+174548+26551+5603+2633+3111</f>
        <v>221885</v>
      </c>
      <c r="O126">
        <f>621</f>
        <v>621</v>
      </c>
      <c r="AG126">
        <v>1</v>
      </c>
      <c r="AL126">
        <v>1</v>
      </c>
      <c r="AM126">
        <v>1</v>
      </c>
      <c r="BH126">
        <v>1</v>
      </c>
      <c r="BR126">
        <v>1</v>
      </c>
    </row>
    <row r="127" spans="1:72" ht="63" x14ac:dyDescent="0.2">
      <c r="A127" s="26">
        <v>410</v>
      </c>
      <c r="B127" s="27" t="s">
        <v>122</v>
      </c>
      <c r="C127" s="27" t="s">
        <v>141</v>
      </c>
      <c r="D127" s="27" t="s">
        <v>11</v>
      </c>
      <c r="E127" s="28">
        <v>100000</v>
      </c>
      <c r="F127" s="27" t="s">
        <v>11</v>
      </c>
      <c r="G127" s="28">
        <v>200000</v>
      </c>
      <c r="H127" s="29" t="s">
        <v>6</v>
      </c>
      <c r="I127" s="27" t="s">
        <v>7</v>
      </c>
      <c r="J127" s="27" t="s">
        <v>8</v>
      </c>
      <c r="K127" s="27" t="s">
        <v>8</v>
      </c>
      <c r="L127" s="27" t="s">
        <v>7</v>
      </c>
    </row>
    <row r="128" spans="1:72" ht="63" x14ac:dyDescent="0.2">
      <c r="A128" s="26">
        <v>411</v>
      </c>
      <c r="B128" s="27" t="s">
        <v>2</v>
      </c>
      <c r="C128" s="27" t="s">
        <v>142</v>
      </c>
      <c r="D128" s="27" t="s">
        <v>11</v>
      </c>
      <c r="E128" s="28">
        <v>100000</v>
      </c>
      <c r="F128" s="27" t="s">
        <v>11</v>
      </c>
      <c r="G128" s="28">
        <v>200000</v>
      </c>
      <c r="H128" s="29" t="s">
        <v>6</v>
      </c>
      <c r="I128" s="27" t="s">
        <v>7</v>
      </c>
      <c r="J128" s="27" t="s">
        <v>8</v>
      </c>
      <c r="K128" s="27" t="s">
        <v>8</v>
      </c>
      <c r="L128" s="27" t="s">
        <v>7</v>
      </c>
    </row>
    <row r="129" spans="1:72" ht="63" x14ac:dyDescent="0.2">
      <c r="A129" s="26">
        <v>412</v>
      </c>
      <c r="B129" s="27" t="s">
        <v>2</v>
      </c>
      <c r="C129" s="27" t="s">
        <v>143</v>
      </c>
      <c r="D129" s="27" t="s">
        <v>11</v>
      </c>
      <c r="E129" s="28">
        <v>100000</v>
      </c>
      <c r="F129" s="27" t="s">
        <v>11</v>
      </c>
      <c r="G129" s="28">
        <v>200000</v>
      </c>
      <c r="H129" s="29" t="s">
        <v>6</v>
      </c>
      <c r="I129" s="27" t="s">
        <v>7</v>
      </c>
      <c r="J129" s="27" t="s">
        <v>8</v>
      </c>
      <c r="K129" s="27" t="s">
        <v>8</v>
      </c>
      <c r="L129" s="27" t="s">
        <v>7</v>
      </c>
    </row>
    <row r="130" spans="1:72" ht="63" x14ac:dyDescent="0.2">
      <c r="A130" s="26">
        <v>413</v>
      </c>
      <c r="B130" s="27" t="s">
        <v>144</v>
      </c>
      <c r="C130" s="27" t="s">
        <v>145</v>
      </c>
      <c r="D130" s="27" t="s">
        <v>11</v>
      </c>
      <c r="E130" s="28">
        <v>100000</v>
      </c>
      <c r="F130" s="27" t="s">
        <v>11</v>
      </c>
      <c r="G130" s="28">
        <v>200000</v>
      </c>
      <c r="H130" s="29" t="s">
        <v>6</v>
      </c>
      <c r="I130" s="27" t="s">
        <v>7</v>
      </c>
      <c r="J130" s="27" t="s">
        <v>8</v>
      </c>
      <c r="K130" s="27" t="s">
        <v>8</v>
      </c>
      <c r="L130" s="27" t="s">
        <v>7</v>
      </c>
      <c r="R130">
        <f>316.31+98.09</f>
        <v>414.4</v>
      </c>
      <c r="BF130">
        <v>1</v>
      </c>
      <c r="BL130">
        <v>1</v>
      </c>
      <c r="BM130">
        <v>1</v>
      </c>
    </row>
    <row r="131" spans="1:72" ht="63" x14ac:dyDescent="0.2">
      <c r="A131" s="26">
        <v>414</v>
      </c>
      <c r="B131" s="27" t="s">
        <v>2</v>
      </c>
      <c r="C131" s="27" t="s">
        <v>146</v>
      </c>
      <c r="D131" s="27" t="s">
        <v>11</v>
      </c>
      <c r="E131" s="28">
        <v>100000</v>
      </c>
      <c r="F131" s="27" t="s">
        <v>11</v>
      </c>
      <c r="G131" s="28">
        <v>200000</v>
      </c>
      <c r="H131" s="29" t="s">
        <v>6</v>
      </c>
      <c r="I131" s="27" t="s">
        <v>7</v>
      </c>
      <c r="J131" s="27" t="s">
        <v>8</v>
      </c>
      <c r="K131" s="27" t="s">
        <v>8</v>
      </c>
      <c r="L131" s="27" t="s">
        <v>7</v>
      </c>
    </row>
    <row r="132" spans="1:72" ht="63" x14ac:dyDescent="0.2">
      <c r="A132" s="26">
        <v>415</v>
      </c>
      <c r="B132" s="27" t="s">
        <v>2</v>
      </c>
      <c r="C132" s="27" t="s">
        <v>147</v>
      </c>
      <c r="D132" s="27" t="s">
        <v>11</v>
      </c>
      <c r="E132" s="28">
        <v>100000</v>
      </c>
      <c r="F132" s="27" t="s">
        <v>11</v>
      </c>
      <c r="G132" s="28">
        <v>200000</v>
      </c>
      <c r="H132" s="29" t="s">
        <v>6</v>
      </c>
      <c r="I132" s="27" t="s">
        <v>7</v>
      </c>
      <c r="J132" s="27" t="s">
        <v>8</v>
      </c>
      <c r="K132" s="27" t="s">
        <v>8</v>
      </c>
      <c r="L132" s="27" t="s">
        <v>7</v>
      </c>
    </row>
    <row r="133" spans="1:72" ht="63" x14ac:dyDescent="0.2">
      <c r="A133" s="26">
        <v>416</v>
      </c>
      <c r="B133" s="27" t="s">
        <v>2</v>
      </c>
      <c r="C133" s="27" t="s">
        <v>148</v>
      </c>
      <c r="D133" s="27" t="s">
        <v>11</v>
      </c>
      <c r="E133" s="28">
        <v>100000</v>
      </c>
      <c r="F133" s="27" t="s">
        <v>11</v>
      </c>
      <c r="G133" s="28">
        <v>200000</v>
      </c>
      <c r="H133" s="29" t="s">
        <v>6</v>
      </c>
      <c r="I133" s="27" t="s">
        <v>7</v>
      </c>
      <c r="J133" s="27" t="s">
        <v>8</v>
      </c>
      <c r="K133" s="27" t="s">
        <v>8</v>
      </c>
      <c r="L133" s="27" t="s">
        <v>7</v>
      </c>
    </row>
    <row r="134" spans="1:72" ht="63" x14ac:dyDescent="0.2">
      <c r="A134" s="26">
        <v>417</v>
      </c>
      <c r="B134" s="27" t="s">
        <v>70</v>
      </c>
      <c r="C134" s="27" t="s">
        <v>149</v>
      </c>
      <c r="D134" s="27" t="s">
        <v>5</v>
      </c>
      <c r="E134" s="28">
        <v>1500000</v>
      </c>
      <c r="F134" s="27" t="s">
        <v>5</v>
      </c>
      <c r="G134" s="28">
        <v>4500000</v>
      </c>
      <c r="H134" s="29" t="s">
        <v>6</v>
      </c>
      <c r="I134" s="27" t="s">
        <v>7</v>
      </c>
      <c r="J134" s="27" t="s">
        <v>8</v>
      </c>
      <c r="K134" s="27" t="s">
        <v>8</v>
      </c>
      <c r="L134" s="27" t="s">
        <v>7</v>
      </c>
    </row>
    <row r="135" spans="1:72" ht="63" x14ac:dyDescent="0.2">
      <c r="A135" s="26">
        <v>418</v>
      </c>
      <c r="B135" s="27" t="s">
        <v>2</v>
      </c>
      <c r="C135" s="27" t="s">
        <v>150</v>
      </c>
      <c r="D135" s="27" t="s">
        <v>11</v>
      </c>
      <c r="E135" s="28">
        <v>100000</v>
      </c>
      <c r="F135" s="27" t="s">
        <v>11</v>
      </c>
      <c r="G135" s="28">
        <v>200000</v>
      </c>
      <c r="H135" s="29" t="s">
        <v>6</v>
      </c>
      <c r="I135" s="27" t="s">
        <v>7</v>
      </c>
      <c r="J135" s="27" t="s">
        <v>8</v>
      </c>
      <c r="K135" s="27" t="s">
        <v>8</v>
      </c>
      <c r="L135" s="27" t="s">
        <v>7</v>
      </c>
      <c r="P135">
        <f>5454</f>
        <v>5454</v>
      </c>
      <c r="AP135">
        <v>1</v>
      </c>
      <c r="BG135">
        <v>1</v>
      </c>
      <c r="BJ135">
        <v>1</v>
      </c>
      <c r="BN135">
        <v>1</v>
      </c>
    </row>
    <row r="136" spans="1:72" ht="63" x14ac:dyDescent="0.2">
      <c r="A136" s="26">
        <v>419</v>
      </c>
      <c r="B136" s="27" t="s">
        <v>2</v>
      </c>
      <c r="C136" s="27" t="s">
        <v>151</v>
      </c>
      <c r="D136" s="27" t="s">
        <v>4</v>
      </c>
      <c r="E136" s="28">
        <v>500000</v>
      </c>
      <c r="F136" s="27" t="s">
        <v>4</v>
      </c>
      <c r="G136" s="28">
        <v>2500000</v>
      </c>
      <c r="H136" s="29" t="s">
        <v>6</v>
      </c>
      <c r="I136" s="27" t="s">
        <v>7</v>
      </c>
      <c r="J136" s="27" t="s">
        <v>8</v>
      </c>
      <c r="K136" s="27" t="s">
        <v>8</v>
      </c>
      <c r="L136" s="27" t="s">
        <v>7</v>
      </c>
      <c r="N136">
        <f>56328.40078+167960.10745+161417.0904</f>
        <v>385705.59863000002</v>
      </c>
      <c r="P136">
        <f>2291.08</f>
        <v>2291.08</v>
      </c>
      <c r="V136">
        <v>1</v>
      </c>
      <c r="W136">
        <v>1</v>
      </c>
      <c r="Y136">
        <v>1</v>
      </c>
      <c r="Z136">
        <v>1</v>
      </c>
      <c r="AA136">
        <v>1</v>
      </c>
      <c r="AB136">
        <v>1</v>
      </c>
      <c r="AD136">
        <v>1</v>
      </c>
      <c r="AE136">
        <v>1</v>
      </c>
      <c r="AF136">
        <v>1</v>
      </c>
      <c r="AH136">
        <v>1</v>
      </c>
      <c r="AR136">
        <v>1</v>
      </c>
      <c r="BB136">
        <v>1</v>
      </c>
      <c r="BG136">
        <v>1</v>
      </c>
      <c r="BH136">
        <v>1</v>
      </c>
      <c r="BM136">
        <v>1</v>
      </c>
      <c r="BN136">
        <v>1</v>
      </c>
      <c r="BS136">
        <v>1</v>
      </c>
    </row>
    <row r="137" spans="1:72" ht="63" x14ac:dyDescent="0.2">
      <c r="A137" s="26">
        <v>420</v>
      </c>
      <c r="B137" s="27" t="s">
        <v>2</v>
      </c>
      <c r="C137" s="27" t="s">
        <v>152</v>
      </c>
      <c r="D137" s="27" t="s">
        <v>11</v>
      </c>
      <c r="E137" s="28">
        <v>100000</v>
      </c>
      <c r="F137" s="27"/>
      <c r="G137" s="27"/>
      <c r="H137" s="29" t="s">
        <v>6</v>
      </c>
      <c r="I137" s="27" t="s">
        <v>7</v>
      </c>
      <c r="J137" s="27" t="s">
        <v>8</v>
      </c>
      <c r="K137" s="27" t="s">
        <v>8</v>
      </c>
      <c r="L137" s="27" t="s">
        <v>8</v>
      </c>
      <c r="N137">
        <f>6692.111+5197.1+8312.679+1011.6+7727.896+281.268+17116.588+6182.602+12205.177+21330.278+14991.274</f>
        <v>101048.573</v>
      </c>
      <c r="AB137">
        <v>1</v>
      </c>
      <c r="BH137">
        <v>1</v>
      </c>
      <c r="BL137">
        <v>1</v>
      </c>
      <c r="BM137">
        <v>1</v>
      </c>
    </row>
    <row r="138" spans="1:72" ht="63" x14ac:dyDescent="0.2">
      <c r="A138" s="26">
        <v>421</v>
      </c>
      <c r="B138" s="27" t="s">
        <v>153</v>
      </c>
      <c r="C138" s="27" t="s">
        <v>154</v>
      </c>
      <c r="D138" s="27" t="s">
        <v>11</v>
      </c>
      <c r="E138" s="28">
        <v>100000</v>
      </c>
      <c r="F138" s="27" t="s">
        <v>11</v>
      </c>
      <c r="G138" s="28">
        <v>200000</v>
      </c>
      <c r="H138" s="29" t="s">
        <v>6</v>
      </c>
      <c r="I138" s="27" t="s">
        <v>7</v>
      </c>
      <c r="J138" s="27" t="s">
        <v>8</v>
      </c>
      <c r="K138" s="27" t="s">
        <v>8</v>
      </c>
      <c r="L138" s="27" t="s">
        <v>7</v>
      </c>
    </row>
    <row r="139" spans="1:72" ht="63" x14ac:dyDescent="0.2">
      <c r="A139" s="26">
        <v>422</v>
      </c>
      <c r="B139" s="27" t="s">
        <v>2</v>
      </c>
      <c r="C139" s="27" t="s">
        <v>155</v>
      </c>
      <c r="D139" s="27" t="s">
        <v>5</v>
      </c>
      <c r="E139" s="28">
        <v>1500000</v>
      </c>
      <c r="F139" s="27"/>
      <c r="G139" s="27"/>
      <c r="H139" s="29" t="s">
        <v>6</v>
      </c>
      <c r="I139" s="27" t="s">
        <v>7</v>
      </c>
      <c r="J139" s="27" t="s">
        <v>8</v>
      </c>
      <c r="K139" s="27" t="s">
        <v>8</v>
      </c>
      <c r="L139" s="27" t="s">
        <v>8</v>
      </c>
      <c r="N139">
        <f>38811.39+105181.39</f>
        <v>143992.78</v>
      </c>
      <c r="AB139">
        <v>1</v>
      </c>
      <c r="BG139">
        <v>1</v>
      </c>
      <c r="BL139">
        <v>1</v>
      </c>
      <c r="BS139">
        <v>1</v>
      </c>
    </row>
    <row r="140" spans="1:72" ht="63" x14ac:dyDescent="0.2">
      <c r="A140" s="26">
        <v>423</v>
      </c>
      <c r="B140" s="27" t="s">
        <v>2</v>
      </c>
      <c r="C140" s="27" t="s">
        <v>156</v>
      </c>
      <c r="D140" s="27" t="s">
        <v>11</v>
      </c>
      <c r="E140" s="28">
        <v>100000</v>
      </c>
      <c r="F140" s="27" t="s">
        <v>11</v>
      </c>
      <c r="G140" s="28">
        <v>200000</v>
      </c>
      <c r="H140" s="29" t="s">
        <v>6</v>
      </c>
      <c r="I140" s="27" t="s">
        <v>7</v>
      </c>
      <c r="J140" s="27" t="s">
        <v>8</v>
      </c>
      <c r="K140" s="27" t="s">
        <v>8</v>
      </c>
      <c r="L140" s="27" t="s">
        <v>7</v>
      </c>
    </row>
    <row r="141" spans="1:72" ht="63" x14ac:dyDescent="0.2">
      <c r="A141" s="26">
        <v>424</v>
      </c>
      <c r="B141" s="27" t="s">
        <v>157</v>
      </c>
      <c r="C141" s="27" t="s">
        <v>158</v>
      </c>
      <c r="D141" s="27" t="s">
        <v>11</v>
      </c>
      <c r="E141" s="28">
        <v>100000</v>
      </c>
      <c r="F141" s="27"/>
      <c r="G141" s="27"/>
      <c r="H141" s="29" t="s">
        <v>6</v>
      </c>
      <c r="I141" s="27" t="s">
        <v>7</v>
      </c>
      <c r="J141" s="27" t="s">
        <v>8</v>
      </c>
      <c r="K141" s="27" t="s">
        <v>8</v>
      </c>
      <c r="L141" s="27" t="s">
        <v>8</v>
      </c>
      <c r="R141">
        <f>47433</f>
        <v>47433</v>
      </c>
      <c r="V141">
        <v>1</v>
      </c>
      <c r="Y141">
        <v>1</v>
      </c>
      <c r="Z141">
        <v>1</v>
      </c>
      <c r="AA141">
        <v>1</v>
      </c>
      <c r="AB141">
        <v>1</v>
      </c>
      <c r="AC141">
        <v>1</v>
      </c>
      <c r="AE141">
        <v>1</v>
      </c>
      <c r="AF141">
        <v>1</v>
      </c>
      <c r="AG141">
        <v>1</v>
      </c>
      <c r="AK141">
        <v>1</v>
      </c>
      <c r="BE141">
        <v>1</v>
      </c>
      <c r="BR141">
        <v>1</v>
      </c>
    </row>
    <row r="142" spans="1:72" ht="63" x14ac:dyDescent="0.2">
      <c r="A142" s="26">
        <v>425</v>
      </c>
      <c r="B142" s="27" t="s">
        <v>2</v>
      </c>
      <c r="C142" s="27" t="s">
        <v>159</v>
      </c>
      <c r="D142" s="27" t="s">
        <v>11</v>
      </c>
      <c r="E142" s="28">
        <v>100000</v>
      </c>
      <c r="F142" s="27"/>
      <c r="G142" s="27"/>
      <c r="H142" s="29" t="s">
        <v>6</v>
      </c>
      <c r="I142" s="27" t="s">
        <v>7</v>
      </c>
      <c r="J142" s="27" t="s">
        <v>8</v>
      </c>
      <c r="K142" s="27" t="s">
        <v>8</v>
      </c>
      <c r="L142" s="27" t="s">
        <v>8</v>
      </c>
    </row>
    <row r="143" spans="1:72" ht="63" x14ac:dyDescent="0.2">
      <c r="A143" s="26">
        <v>426</v>
      </c>
      <c r="B143" s="27" t="s">
        <v>2</v>
      </c>
      <c r="C143" s="27" t="s">
        <v>160</v>
      </c>
      <c r="D143" s="27" t="s">
        <v>11</v>
      </c>
      <c r="E143" s="28">
        <v>100000</v>
      </c>
      <c r="F143" s="27" t="s">
        <v>11</v>
      </c>
      <c r="G143" s="28">
        <v>200000</v>
      </c>
      <c r="H143" s="29" t="s">
        <v>6</v>
      </c>
      <c r="I143" s="27" t="s">
        <v>7</v>
      </c>
      <c r="J143" s="27" t="s">
        <v>7</v>
      </c>
      <c r="K143" s="27" t="s">
        <v>8</v>
      </c>
      <c r="L143" s="27" t="s">
        <v>7</v>
      </c>
      <c r="N143">
        <f>2256.715+11500</f>
        <v>13756.715</v>
      </c>
      <c r="P143">
        <f>6180</f>
        <v>6180</v>
      </c>
      <c r="AJ143">
        <v>1</v>
      </c>
      <c r="BH143">
        <v>1</v>
      </c>
      <c r="BT143">
        <v>1</v>
      </c>
    </row>
    <row r="144" spans="1:72" ht="63" x14ac:dyDescent="0.2">
      <c r="A144" s="26">
        <v>428</v>
      </c>
      <c r="B144" s="27" t="s">
        <v>2</v>
      </c>
      <c r="C144" s="27" t="s">
        <v>161</v>
      </c>
      <c r="D144" s="27" t="s">
        <v>11</v>
      </c>
      <c r="E144" s="28">
        <v>100000</v>
      </c>
      <c r="F144" s="27" t="s">
        <v>11</v>
      </c>
      <c r="G144" s="28">
        <v>200000</v>
      </c>
      <c r="H144" s="29" t="s">
        <v>6</v>
      </c>
      <c r="I144" s="27" t="s">
        <v>7</v>
      </c>
      <c r="J144" s="27" t="s">
        <v>8</v>
      </c>
      <c r="K144" s="27" t="s">
        <v>8</v>
      </c>
      <c r="L144" s="27" t="s">
        <v>7</v>
      </c>
    </row>
    <row r="145" spans="1:72" ht="63" x14ac:dyDescent="0.2">
      <c r="A145" s="26">
        <v>429</v>
      </c>
      <c r="B145" s="27" t="s">
        <v>2</v>
      </c>
      <c r="C145" s="27" t="s">
        <v>137</v>
      </c>
      <c r="D145" s="27" t="s">
        <v>11</v>
      </c>
      <c r="E145" s="28">
        <v>100000</v>
      </c>
      <c r="F145" s="27" t="s">
        <v>11</v>
      </c>
      <c r="G145" s="28">
        <v>200000</v>
      </c>
      <c r="H145" s="29" t="s">
        <v>6</v>
      </c>
      <c r="I145" s="27" t="s">
        <v>7</v>
      </c>
      <c r="J145" s="27" t="s">
        <v>8</v>
      </c>
      <c r="K145" s="27" t="s">
        <v>8</v>
      </c>
      <c r="L145" s="27" t="s">
        <v>7</v>
      </c>
    </row>
    <row r="146" spans="1:72" ht="63" x14ac:dyDescent="0.2">
      <c r="A146" s="26">
        <v>430</v>
      </c>
      <c r="B146" s="27" t="s">
        <v>2</v>
      </c>
      <c r="C146" s="27" t="s">
        <v>162</v>
      </c>
      <c r="D146" s="27" t="s">
        <v>11</v>
      </c>
      <c r="E146" s="28">
        <v>100000</v>
      </c>
      <c r="F146" s="27"/>
      <c r="G146" s="27"/>
      <c r="H146" s="29" t="s">
        <v>6</v>
      </c>
      <c r="I146" s="27" t="s">
        <v>7</v>
      </c>
      <c r="J146" s="27" t="s">
        <v>7</v>
      </c>
      <c r="K146" s="27" t="s">
        <v>8</v>
      </c>
      <c r="L146" s="27" t="s">
        <v>8</v>
      </c>
      <c r="N146">
        <f>2427.0586+446.6124+23.5512+35578.227+10.8</f>
        <v>38486.249199999998</v>
      </c>
      <c r="AE146">
        <v>1</v>
      </c>
      <c r="AL146">
        <v>1</v>
      </c>
      <c r="BG146">
        <v>1</v>
      </c>
      <c r="BH146">
        <v>1</v>
      </c>
      <c r="BJ146">
        <v>1</v>
      </c>
      <c r="BN146">
        <v>1</v>
      </c>
      <c r="BR146">
        <v>1</v>
      </c>
    </row>
    <row r="147" spans="1:72" ht="63" x14ac:dyDescent="0.2">
      <c r="A147" s="26">
        <v>431</v>
      </c>
      <c r="B147" s="27" t="s">
        <v>2</v>
      </c>
      <c r="C147" s="27" t="s">
        <v>163</v>
      </c>
      <c r="D147" s="27" t="s">
        <v>11</v>
      </c>
      <c r="E147" s="28">
        <v>100000</v>
      </c>
      <c r="F147" s="27"/>
      <c r="G147" s="27"/>
      <c r="H147" s="29" t="s">
        <v>6</v>
      </c>
      <c r="I147" s="27" t="s">
        <v>7</v>
      </c>
      <c r="J147" s="27" t="s">
        <v>8</v>
      </c>
      <c r="K147" s="27" t="s">
        <v>8</v>
      </c>
      <c r="L147" s="27" t="s">
        <v>8</v>
      </c>
    </row>
    <row r="148" spans="1:72" ht="63" x14ac:dyDescent="0.2">
      <c r="A148" s="26">
        <v>432</v>
      </c>
      <c r="B148" s="27" t="s">
        <v>2</v>
      </c>
      <c r="C148" s="27" t="s">
        <v>164</v>
      </c>
      <c r="D148" s="27" t="s">
        <v>11</v>
      </c>
      <c r="E148" s="28">
        <v>100000</v>
      </c>
      <c r="F148" s="27" t="s">
        <v>11</v>
      </c>
      <c r="G148" s="28">
        <v>200000</v>
      </c>
      <c r="H148" s="29" t="s">
        <v>6</v>
      </c>
      <c r="I148" s="27" t="s">
        <v>7</v>
      </c>
      <c r="J148" s="27" t="s">
        <v>8</v>
      </c>
      <c r="K148" s="27" t="s">
        <v>8</v>
      </c>
      <c r="L148" s="27" t="s">
        <v>7</v>
      </c>
    </row>
    <row r="149" spans="1:72" ht="63" x14ac:dyDescent="0.2">
      <c r="A149" s="26">
        <v>433</v>
      </c>
      <c r="B149" s="27" t="s">
        <v>70</v>
      </c>
      <c r="C149" s="27" t="s">
        <v>165</v>
      </c>
      <c r="D149" s="27" t="s">
        <v>81</v>
      </c>
      <c r="E149" s="28">
        <v>2000000</v>
      </c>
      <c r="F149" s="27"/>
      <c r="G149" s="27"/>
      <c r="H149" s="29" t="s">
        <v>6</v>
      </c>
      <c r="I149" s="27" t="s">
        <v>7</v>
      </c>
      <c r="J149" s="27" t="s">
        <v>7</v>
      </c>
      <c r="K149" s="27" t="s">
        <v>8</v>
      </c>
      <c r="L149" s="27" t="s">
        <v>8</v>
      </c>
    </row>
    <row r="150" spans="1:72" ht="63" x14ac:dyDescent="0.2">
      <c r="A150" s="26">
        <v>434</v>
      </c>
      <c r="B150" s="27" t="s">
        <v>2</v>
      </c>
      <c r="C150" s="27" t="s">
        <v>166</v>
      </c>
      <c r="D150" s="27" t="s">
        <v>11</v>
      </c>
      <c r="E150" s="28">
        <v>100000</v>
      </c>
      <c r="F150" s="27"/>
      <c r="G150" s="27"/>
      <c r="H150" s="29" t="s">
        <v>6</v>
      </c>
      <c r="I150" s="27" t="s">
        <v>7</v>
      </c>
      <c r="J150" s="27" t="s">
        <v>8</v>
      </c>
      <c r="K150" s="27" t="s">
        <v>8</v>
      </c>
      <c r="L150" s="27" t="s">
        <v>8</v>
      </c>
      <c r="N150">
        <f>60000+60000+90000</f>
        <v>210000</v>
      </c>
      <c r="BD150">
        <v>1</v>
      </c>
      <c r="BF150">
        <v>1</v>
      </c>
      <c r="BL150">
        <v>1</v>
      </c>
      <c r="BN150">
        <v>1</v>
      </c>
      <c r="BS150">
        <v>1</v>
      </c>
    </row>
    <row r="151" spans="1:72" ht="63" x14ac:dyDescent="0.2">
      <c r="A151" s="26">
        <v>435</v>
      </c>
      <c r="B151" s="27" t="s">
        <v>2</v>
      </c>
      <c r="C151" s="27" t="s">
        <v>167</v>
      </c>
      <c r="D151" s="27" t="s">
        <v>11</v>
      </c>
      <c r="E151" s="28">
        <v>100000</v>
      </c>
      <c r="F151" s="27"/>
      <c r="G151" s="27"/>
      <c r="H151" s="29" t="s">
        <v>6</v>
      </c>
      <c r="I151" s="27" t="s">
        <v>7</v>
      </c>
      <c r="J151" s="27" t="s">
        <v>8</v>
      </c>
      <c r="K151" s="27" t="s">
        <v>8</v>
      </c>
      <c r="L151" s="27" t="s">
        <v>8</v>
      </c>
    </row>
    <row r="152" spans="1:72" ht="63" x14ac:dyDescent="0.2">
      <c r="A152" s="26">
        <v>436</v>
      </c>
      <c r="B152" s="27" t="s">
        <v>2</v>
      </c>
      <c r="C152" s="27" t="s">
        <v>168</v>
      </c>
      <c r="D152" s="27" t="s">
        <v>11</v>
      </c>
      <c r="E152" s="28">
        <v>100000</v>
      </c>
      <c r="F152" s="27"/>
      <c r="G152" s="27"/>
      <c r="H152" s="29" t="s">
        <v>6</v>
      </c>
      <c r="I152" s="27" t="s">
        <v>7</v>
      </c>
      <c r="J152" s="27" t="s">
        <v>8</v>
      </c>
      <c r="K152" s="27" t="s">
        <v>8</v>
      </c>
      <c r="L152" s="27" t="s">
        <v>8</v>
      </c>
    </row>
    <row r="153" spans="1:72" ht="63" x14ac:dyDescent="0.2">
      <c r="A153" s="26">
        <v>437</v>
      </c>
      <c r="B153" s="27" t="s">
        <v>2</v>
      </c>
      <c r="C153" s="27" t="s">
        <v>169</v>
      </c>
      <c r="D153" s="27" t="s">
        <v>4</v>
      </c>
      <c r="E153" s="28">
        <v>500000</v>
      </c>
      <c r="F153" s="27"/>
      <c r="G153" s="27"/>
      <c r="H153" s="29" t="s">
        <v>6</v>
      </c>
      <c r="I153" s="27" t="s">
        <v>7</v>
      </c>
      <c r="J153" s="27" t="s">
        <v>7</v>
      </c>
      <c r="K153" s="27" t="s">
        <v>8</v>
      </c>
      <c r="L153" s="27" t="s">
        <v>8</v>
      </c>
    </row>
    <row r="154" spans="1:72" ht="63" x14ac:dyDescent="0.2">
      <c r="A154" s="26">
        <v>438</v>
      </c>
      <c r="B154" s="27" t="s">
        <v>2</v>
      </c>
      <c r="C154" s="27" t="s">
        <v>170</v>
      </c>
      <c r="D154" s="27" t="s">
        <v>11</v>
      </c>
      <c r="E154" s="28">
        <v>100000</v>
      </c>
      <c r="F154" s="27"/>
      <c r="G154" s="27"/>
      <c r="H154" s="29" t="s">
        <v>6</v>
      </c>
      <c r="I154" s="27" t="s">
        <v>7</v>
      </c>
      <c r="J154" s="27" t="s">
        <v>7</v>
      </c>
      <c r="K154" s="27" t="s">
        <v>8</v>
      </c>
      <c r="L154" s="27" t="s">
        <v>8</v>
      </c>
    </row>
    <row r="155" spans="1:72" ht="63" x14ac:dyDescent="0.2">
      <c r="A155" s="26">
        <v>439</v>
      </c>
      <c r="B155" s="27" t="s">
        <v>2</v>
      </c>
      <c r="C155" s="27" t="s">
        <v>171</v>
      </c>
      <c r="D155" s="27" t="s">
        <v>11</v>
      </c>
      <c r="E155" s="28">
        <v>100000</v>
      </c>
      <c r="F155" s="27"/>
      <c r="G155" s="27"/>
      <c r="H155" s="29" t="s">
        <v>6</v>
      </c>
      <c r="I155" s="27" t="s">
        <v>7</v>
      </c>
      <c r="J155" s="27" t="s">
        <v>8</v>
      </c>
      <c r="K155" s="27" t="s">
        <v>8</v>
      </c>
      <c r="L155" s="27" t="s">
        <v>8</v>
      </c>
    </row>
    <row r="156" spans="1:72" ht="63" x14ac:dyDescent="0.2">
      <c r="A156" s="26">
        <v>441</v>
      </c>
      <c r="B156" s="27" t="s">
        <v>2</v>
      </c>
      <c r="C156" s="27" t="s">
        <v>172</v>
      </c>
      <c r="D156" s="27" t="s">
        <v>4</v>
      </c>
      <c r="E156" s="28">
        <v>500000</v>
      </c>
      <c r="F156" s="27" t="s">
        <v>4</v>
      </c>
      <c r="G156" s="28">
        <v>2500000</v>
      </c>
      <c r="H156" s="29" t="s">
        <v>6</v>
      </c>
      <c r="I156" s="27" t="s">
        <v>7</v>
      </c>
      <c r="J156" s="27" t="s">
        <v>7</v>
      </c>
      <c r="K156" s="27" t="s">
        <v>8</v>
      </c>
      <c r="L156" s="27" t="s">
        <v>7</v>
      </c>
      <c r="O156">
        <f>6043.675+6809.748+75265.908+19595.848+16089.735+100162.109+54360.177+18077.256+19429.876+3878.296</f>
        <v>319712.62799999997</v>
      </c>
      <c r="U156">
        <v>1</v>
      </c>
      <c r="V156">
        <v>1</v>
      </c>
      <c r="Z156">
        <v>1</v>
      </c>
      <c r="AA156">
        <v>1</v>
      </c>
      <c r="AC156">
        <v>1</v>
      </c>
      <c r="AD156">
        <v>1</v>
      </c>
      <c r="AE156">
        <v>1</v>
      </c>
      <c r="AF156">
        <v>1</v>
      </c>
      <c r="AG156">
        <v>1</v>
      </c>
      <c r="AH156">
        <v>1</v>
      </c>
      <c r="BC156">
        <v>1</v>
      </c>
      <c r="BG156">
        <v>1</v>
      </c>
      <c r="BH156">
        <v>1</v>
      </c>
      <c r="BJ156">
        <v>1</v>
      </c>
      <c r="BN156">
        <v>1</v>
      </c>
      <c r="BR156">
        <v>1</v>
      </c>
    </row>
    <row r="157" spans="1:72" ht="63" x14ac:dyDescent="0.2">
      <c r="A157" s="26">
        <v>442</v>
      </c>
      <c r="B157" s="27" t="s">
        <v>2</v>
      </c>
      <c r="C157" s="27" t="s">
        <v>173</v>
      </c>
      <c r="D157" s="27" t="s">
        <v>4</v>
      </c>
      <c r="E157" s="28">
        <v>500000</v>
      </c>
      <c r="F157" s="27" t="s">
        <v>4</v>
      </c>
      <c r="G157" s="28">
        <v>2500000</v>
      </c>
      <c r="H157" s="29" t="s">
        <v>6</v>
      </c>
      <c r="I157" s="27" t="s">
        <v>7</v>
      </c>
      <c r="J157" s="27" t="s">
        <v>7</v>
      </c>
      <c r="K157" s="27" t="s">
        <v>8</v>
      </c>
      <c r="L157" s="27" t="s">
        <v>7</v>
      </c>
      <c r="N157">
        <f>249721.4+121765.247+848.272+45120.83+11498.798+5213.614</f>
        <v>434168.16100000002</v>
      </c>
      <c r="O157">
        <f>13230.36</f>
        <v>13230.36</v>
      </c>
      <c r="U157">
        <v>1</v>
      </c>
      <c r="AA157">
        <v>1</v>
      </c>
      <c r="AK157">
        <v>1</v>
      </c>
      <c r="AU157">
        <v>1</v>
      </c>
      <c r="BH157">
        <v>1</v>
      </c>
      <c r="BT157">
        <v>1</v>
      </c>
    </row>
    <row r="158" spans="1:72" ht="63" x14ac:dyDescent="0.2">
      <c r="A158" s="26">
        <v>443</v>
      </c>
      <c r="B158" s="27" t="s">
        <v>2</v>
      </c>
      <c r="C158" s="27" t="s">
        <v>174</v>
      </c>
      <c r="D158" s="27" t="s">
        <v>11</v>
      </c>
      <c r="E158" s="28">
        <v>100000</v>
      </c>
      <c r="F158" s="27"/>
      <c r="G158" s="27"/>
      <c r="H158" s="29" t="s">
        <v>6</v>
      </c>
      <c r="I158" s="27" t="s">
        <v>7</v>
      </c>
      <c r="J158" s="27" t="s">
        <v>8</v>
      </c>
      <c r="K158" s="27" t="s">
        <v>8</v>
      </c>
      <c r="L158" s="27" t="s">
        <v>8</v>
      </c>
    </row>
    <row r="159" spans="1:72" ht="63" x14ac:dyDescent="0.2">
      <c r="A159" s="26">
        <v>444</v>
      </c>
      <c r="B159" s="27" t="s">
        <v>2</v>
      </c>
      <c r="C159" s="27" t="s">
        <v>175</v>
      </c>
      <c r="D159" s="27" t="s">
        <v>11</v>
      </c>
      <c r="E159" s="28">
        <v>100000</v>
      </c>
      <c r="F159" s="27" t="s">
        <v>11</v>
      </c>
      <c r="G159" s="28">
        <v>200000</v>
      </c>
      <c r="H159" s="29" t="s">
        <v>6</v>
      </c>
      <c r="I159" s="27" t="s">
        <v>7</v>
      </c>
      <c r="J159" s="27" t="s">
        <v>8</v>
      </c>
      <c r="K159" s="27" t="s">
        <v>8</v>
      </c>
      <c r="L159" s="27" t="s">
        <v>7</v>
      </c>
      <c r="N159">
        <v>14365.365</v>
      </c>
      <c r="Z159">
        <v>1</v>
      </c>
      <c r="AA159">
        <v>1</v>
      </c>
      <c r="AB159">
        <v>1</v>
      </c>
      <c r="BH159">
        <v>1</v>
      </c>
      <c r="BL159">
        <v>1</v>
      </c>
    </row>
    <row r="160" spans="1:72" ht="63" x14ac:dyDescent="0.2">
      <c r="A160" s="26">
        <v>445</v>
      </c>
      <c r="B160" s="27" t="s">
        <v>2</v>
      </c>
      <c r="C160" s="27" t="s">
        <v>176</v>
      </c>
      <c r="D160" s="27" t="s">
        <v>11</v>
      </c>
      <c r="E160" s="28">
        <v>100000</v>
      </c>
      <c r="F160" s="27" t="s">
        <v>11</v>
      </c>
      <c r="G160" s="28">
        <v>200000</v>
      </c>
      <c r="H160" s="29" t="s">
        <v>6</v>
      </c>
      <c r="I160" s="27" t="s">
        <v>7</v>
      </c>
      <c r="J160" s="27" t="s">
        <v>8</v>
      </c>
      <c r="K160" s="27" t="s">
        <v>8</v>
      </c>
      <c r="L160" s="27" t="s">
        <v>7</v>
      </c>
      <c r="P160">
        <f>183+2931+2987+591+1138+838+540+517+240+408+20587+2522+10941+14364+6141+9673</f>
        <v>74601</v>
      </c>
      <c r="U160">
        <v>1</v>
      </c>
      <c r="V160">
        <v>1</v>
      </c>
      <c r="Y160">
        <v>1</v>
      </c>
      <c r="Z160">
        <v>1</v>
      </c>
      <c r="AA160">
        <v>1</v>
      </c>
      <c r="AB160">
        <v>1</v>
      </c>
      <c r="AC160">
        <v>1</v>
      </c>
      <c r="AD160">
        <v>1</v>
      </c>
      <c r="AE160">
        <v>1</v>
      </c>
      <c r="AF160">
        <v>1</v>
      </c>
      <c r="AG160">
        <v>1</v>
      </c>
      <c r="AH160">
        <v>1</v>
      </c>
      <c r="AI160">
        <v>1</v>
      </c>
      <c r="AJ160">
        <v>1</v>
      </c>
      <c r="AK160">
        <v>1</v>
      </c>
      <c r="AL160">
        <v>1</v>
      </c>
      <c r="AU160">
        <v>1</v>
      </c>
      <c r="BH160">
        <v>1</v>
      </c>
      <c r="BJ160">
        <v>1</v>
      </c>
      <c r="BM160">
        <v>1</v>
      </c>
      <c r="BR160">
        <v>1</v>
      </c>
      <c r="BS160">
        <v>1</v>
      </c>
      <c r="BT160">
        <v>1</v>
      </c>
    </row>
    <row r="161" spans="1:72" ht="63" x14ac:dyDescent="0.2">
      <c r="A161" s="26">
        <v>446</v>
      </c>
      <c r="B161" s="27" t="s">
        <v>2</v>
      </c>
      <c r="C161" s="27" t="s">
        <v>177</v>
      </c>
      <c r="D161" s="27" t="s">
        <v>5</v>
      </c>
      <c r="E161" s="28">
        <v>1500000</v>
      </c>
      <c r="F161" s="27"/>
      <c r="G161" s="27"/>
      <c r="H161" s="29" t="s">
        <v>6</v>
      </c>
      <c r="I161" s="27" t="s">
        <v>7</v>
      </c>
      <c r="J161" s="27" t="s">
        <v>7</v>
      </c>
      <c r="K161" s="27" t="s">
        <v>8</v>
      </c>
      <c r="L161" s="27" t="s">
        <v>8</v>
      </c>
      <c r="N161">
        <f>705278.5</f>
        <v>705278.5</v>
      </c>
      <c r="U161">
        <v>1</v>
      </c>
      <c r="V161">
        <v>1</v>
      </c>
      <c r="W161">
        <v>1</v>
      </c>
      <c r="X161">
        <v>1</v>
      </c>
      <c r="Y161">
        <v>1</v>
      </c>
      <c r="Z161">
        <v>1</v>
      </c>
      <c r="AA161">
        <v>1</v>
      </c>
      <c r="AB161">
        <v>1</v>
      </c>
      <c r="AC161">
        <v>1</v>
      </c>
      <c r="AD161">
        <v>1</v>
      </c>
      <c r="AE161">
        <v>1</v>
      </c>
      <c r="AF161">
        <v>1</v>
      </c>
      <c r="AG161">
        <v>1</v>
      </c>
      <c r="AH161">
        <v>1</v>
      </c>
      <c r="AI161">
        <v>1</v>
      </c>
      <c r="AJ161">
        <v>1</v>
      </c>
      <c r="AK161">
        <v>1</v>
      </c>
      <c r="AL161">
        <v>1</v>
      </c>
      <c r="AM161">
        <v>1</v>
      </c>
      <c r="AN161">
        <v>1</v>
      </c>
      <c r="BH161">
        <v>1</v>
      </c>
      <c r="BN161">
        <v>1</v>
      </c>
      <c r="BP161">
        <v>1</v>
      </c>
      <c r="BR161">
        <v>1</v>
      </c>
      <c r="BT161">
        <v>1</v>
      </c>
    </row>
    <row r="162" spans="1:72" ht="63" x14ac:dyDescent="0.2">
      <c r="A162" s="26">
        <v>447</v>
      </c>
      <c r="B162" s="27" t="s">
        <v>122</v>
      </c>
      <c r="C162" s="27" t="s">
        <v>178</v>
      </c>
      <c r="D162" s="27" t="s">
        <v>11</v>
      </c>
      <c r="E162" s="28">
        <v>100000</v>
      </c>
      <c r="F162" s="27"/>
      <c r="G162" s="27"/>
      <c r="H162" s="29" t="s">
        <v>6</v>
      </c>
      <c r="I162" s="27" t="s">
        <v>7</v>
      </c>
      <c r="J162" s="27" t="s">
        <v>8</v>
      </c>
      <c r="K162" s="27" t="s">
        <v>8</v>
      </c>
      <c r="L162" s="27" t="s">
        <v>8</v>
      </c>
    </row>
    <row r="163" spans="1:72" ht="63" x14ac:dyDescent="0.2">
      <c r="A163" s="26">
        <v>448</v>
      </c>
      <c r="B163" s="27" t="s">
        <v>2</v>
      </c>
      <c r="C163" s="27" t="s">
        <v>179</v>
      </c>
      <c r="D163" s="27" t="s">
        <v>11</v>
      </c>
      <c r="E163" s="28">
        <v>100000</v>
      </c>
      <c r="F163" s="27"/>
      <c r="G163" s="27"/>
      <c r="H163" s="29" t="s">
        <v>6</v>
      </c>
      <c r="I163" s="27" t="s">
        <v>7</v>
      </c>
      <c r="J163" s="27" t="s">
        <v>8</v>
      </c>
      <c r="K163" s="27" t="s">
        <v>8</v>
      </c>
      <c r="L163" s="27" t="s">
        <v>8</v>
      </c>
    </row>
  </sheetData>
  <autoFilter ref="A3:BT163"/>
  <mergeCells count="1">
    <mergeCell ref="J1:M1"/>
  </mergeCells>
  <pageMargins left="0.39370078740157483" right="0.39370078740157483" top="0.39370078740157483" bottom="0.39370078740157483" header="0" footer="0"/>
  <pageSetup pageOrder="overThenDown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Марина Владимировна Александрова</cp:lastModifiedBy>
  <dcterms:modified xsi:type="dcterms:W3CDTF">2024-04-19T08:08:30Z</dcterms:modified>
</cp:coreProperties>
</file>